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5\"/>
    </mc:Choice>
  </mc:AlternateContent>
  <xr:revisionPtr revIDLastSave="0" documentId="13_ncr:1_{57880AC1-DB9F-4C97-93E3-08BA40CDA345}" xr6:coauthVersionLast="47" xr6:coauthVersionMax="47" xr10:uidLastSave="{00000000-0000-0000-0000-000000000000}"/>
  <workbookProtection workbookAlgorithmName="SHA-512" workbookHashValue="g1Mc3LrQPDsziVOZfOrSQeQ5sVOrCoAeMBPb+LHFq5zDtUTLZ3tlwSEA4q2WsFa8vmdDXv2EVQ3tB66XLL/row==" workbookSaltValue="Fkab8bXTJ8i6bp4Y8kcylA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9" l="1"/>
  <c r="C5" i="19"/>
  <c r="C4" i="19"/>
  <c r="C3" i="19"/>
  <c r="C2" i="19"/>
  <c r="A18" i="17" l="1"/>
  <c r="F7" i="17"/>
  <c r="B15" i="17"/>
  <c r="I6" i="17" s="1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7" i="17" l="1"/>
  <c r="I8" i="17"/>
  <c r="I12" i="17" l="1"/>
  <c r="I14" i="17" s="1"/>
  <c r="F14" i="17" s="1"/>
  <c r="I13" i="17" l="1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<sst xmlns="http://schemas.openxmlformats.org/spreadsheetml/2006/main" count="89" uniqueCount="61">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</sst>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\ #,##0;[Red]&quot;$&quot;\ \-#,##0"/>
    <numFmt numFmtId="165" formatCode="General_)"/>
    <numFmt numFmtId="166" formatCode="#,##0.00_ ;[Red]\-#,##0.00\ "/>
    <numFmt numFmtId="167" formatCode="0_ ;[Red]\-0\ 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2" fontId="15" fillId="0" borderId="0" xfId="1" applyNumberFormat="1" applyFont="1" applyFill="1" applyBorder="1" applyAlignment="1" applyProtection="1">
      <alignment horizontal="center"/>
      <protection locked="0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0" fontId="0" fillId="3" borderId="0" xfId="0" applyFill="1" applyAlignment="1">
      <alignment horizont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2" fontId="16" fillId="7" borderId="9" xfId="1" applyNumberFormat="1" applyFont="1" applyFill="1" applyBorder="1" applyAlignment="1" applyProtection="1">
      <alignment horizontal="center"/>
      <protection locked="0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2" fontId="16" fillId="8" borderId="9" xfId="0" applyNumberFormat="1" applyFont="1" applyFill="1" applyBorder="1" applyAlignment="1">
      <alignment horizontal="center"/>
    </xf>
    <xf numFmtId="2" fontId="13" fillId="11" borderId="9" xfId="0" applyNumberFormat="1" applyFont="1" applyFill="1" applyBorder="1" applyAlignment="1" applyProtection="1">
      <alignment horizontal="center"/>
      <protection hidden="1"/>
    </xf>
    <xf numFmtId="2" fontId="17" fillId="8" borderId="9" xfId="0" applyNumberFormat="1" applyFont="1" applyFill="1" applyBorder="1" applyAlignment="1">
      <alignment horizontal="center"/>
    </xf>
    <xf numFmtId="2" fontId="16" fillId="0" borderId="9" xfId="0" applyNumberFormat="1" applyFont="1" applyFill="1" applyBorder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20" fillId="0" borderId="0" xfId="0" applyFont="1" applyBorder="1" applyAlignment="1" applyProtection="1">
      <alignment horizontal="center"/>
      <protection hidden="1"/>
    </xf>
    <xf numFmtId="2" fontId="17" fillId="0" borderId="9" xfId="0" applyNumberFormat="1" applyFont="1" applyFill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2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5"/>
  <sheetViews>
    <sheetView workbookViewId="0">
      <selection activeCell="B8" sqref="B8"/>
    </sheetView>
  </sheetViews>
  <sheetFormatPr baseColWidth="10" defaultRowHeight="12.75" x14ac:dyDescent="0.2"/>
  <cols>
    <col min="1" max="1" width="58.7109375" customWidth="1"/>
    <col min="6" max="6" width="13.28515625" bestFit="1" customWidth="1"/>
  </cols>
  <sheetData>
    <row r="1" spans="1:11" ht="25.5" x14ac:dyDescent="0.2">
      <c r="A1" s="30" t="s">
        <v>16</v>
      </c>
      <c r="B1" s="29" t="s">
        <v>38</v>
      </c>
      <c r="C1" s="9"/>
      <c r="D1" s="8"/>
    </row>
    <row r="2" spans="1:11" x14ac:dyDescent="0.2">
      <c r="A2" s="10" t="s">
        <v>24</v>
      </c>
      <c r="B2" s="11">
        <v>929108</v>
      </c>
      <c r="C2" s="34">
        <f>+B2/45</f>
        <v>20646.844444444443</v>
      </c>
      <c r="D2" s="27"/>
      <c r="E2" s="43"/>
      <c r="F2" s="1"/>
      <c r="H2" s="46"/>
      <c r="I2" s="46"/>
      <c r="J2" s="46"/>
      <c r="K2" s="46"/>
    </row>
    <row r="3" spans="1:11" x14ac:dyDescent="0.2">
      <c r="A3" s="10" t="s">
        <v>25</v>
      </c>
      <c r="B3" s="11">
        <v>904623</v>
      </c>
      <c r="C3" s="34">
        <f t="shared" ref="C3:C6" si="0">+B3/45</f>
        <v>20102.733333333334</v>
      </c>
      <c r="D3" s="27"/>
      <c r="E3" s="43"/>
      <c r="F3" s="1"/>
      <c r="H3" s="46"/>
    </row>
    <row r="4" spans="1:11" x14ac:dyDescent="0.2">
      <c r="A4" s="10" t="s">
        <v>26</v>
      </c>
      <c r="B4" s="11">
        <v>888379</v>
      </c>
      <c r="C4" s="34">
        <f t="shared" si="0"/>
        <v>19741.755555555555</v>
      </c>
      <c r="D4" s="27"/>
      <c r="E4" s="43"/>
      <c r="F4" s="1"/>
      <c r="H4" s="46"/>
    </row>
    <row r="5" spans="1:11" x14ac:dyDescent="0.2">
      <c r="A5" s="10" t="s">
        <v>27</v>
      </c>
      <c r="B5" s="11">
        <v>872249</v>
      </c>
      <c r="C5" s="34">
        <f t="shared" si="0"/>
        <v>19383.31111111111</v>
      </c>
      <c r="D5" s="27"/>
      <c r="E5" s="43"/>
      <c r="F5" s="1"/>
      <c r="H5" s="46"/>
    </row>
    <row r="6" spans="1:11" x14ac:dyDescent="0.2">
      <c r="A6" s="10" t="s">
        <v>28</v>
      </c>
      <c r="B6" s="11">
        <v>866646</v>
      </c>
      <c r="C6" s="34">
        <f t="shared" si="0"/>
        <v>19258.8</v>
      </c>
      <c r="D6" s="27"/>
      <c r="E6" s="43"/>
      <c r="F6" s="1"/>
      <c r="H6" s="46"/>
    </row>
    <row r="7" spans="1:11" x14ac:dyDescent="0.2">
      <c r="H7" s="45"/>
    </row>
    <row r="9" spans="1:11" x14ac:dyDescent="0.2">
      <c r="I9" s="44"/>
      <c r="J9" s="44"/>
      <c r="K9" s="44"/>
    </row>
    <row r="11" spans="1:11" x14ac:dyDescent="0.2">
      <c r="B11" s="35"/>
      <c r="D11" s="35"/>
      <c r="E11" s="35"/>
      <c r="F11" s="35"/>
      <c r="G11" s="35"/>
    </row>
    <row r="12" spans="1:11" x14ac:dyDescent="0.2">
      <c r="B12" s="35"/>
    </row>
    <row r="13" spans="1:11" x14ac:dyDescent="0.2">
      <c r="B13" s="35"/>
    </row>
    <row r="14" spans="1:11" x14ac:dyDescent="0.2">
      <c r="B14" s="35"/>
    </row>
    <row r="15" spans="1:11" x14ac:dyDescent="0.2">
      <c r="B15" s="35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47" t="s">
        <v>0</v>
      </c>
      <c r="G3" s="47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B7" sqref="B7:D7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21" hidden="1" x14ac:dyDescent="0.35">
      <c r="A2" s="17"/>
      <c r="B2" s="67"/>
      <c r="C2" s="67"/>
      <c r="H2" s="67"/>
      <c r="I2" s="67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65" t="str">
        <f>+"SUELDOS DE "&amp;Datos!A24</f>
        <v>SUELDOS DE ABRIL 2025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48" t="s">
        <v>22</v>
      </c>
      <c r="C6" s="48"/>
      <c r="D6" s="48"/>
      <c r="E6" s="42"/>
      <c r="F6" s="71" t="s">
        <v>21</v>
      </c>
      <c r="G6" s="71"/>
      <c r="H6" s="71"/>
      <c r="I6" s="61">
        <f>IF($B$8&gt;29,$B$15,$B$15/45*$B8)</f>
        <v>929108</v>
      </c>
      <c r="J6" s="61"/>
      <c r="K6" s="61"/>
      <c r="L6" s="61"/>
    </row>
    <row r="7" spans="1:12" s="19" customFormat="1" ht="20.100000000000001" customHeight="1" x14ac:dyDescent="0.3">
      <c r="A7" s="37" t="s">
        <v>30</v>
      </c>
      <c r="B7" s="48" t="s">
        <v>24</v>
      </c>
      <c r="C7" s="48"/>
      <c r="D7" s="48"/>
      <c r="E7" s="42"/>
      <c r="F7" s="56" t="str">
        <f>"Antigüedad"&amp;" "&amp;VLOOKUP($B$9,Cargos!$F$4:$G$49,2,FALSE)*100&amp;"%"</f>
        <v>Antigüedad 0%</v>
      </c>
      <c r="G7" s="56"/>
      <c r="H7" s="56"/>
      <c r="I7" s="58">
        <f>I6*(VLOOKUP(B9,Cargos!$F$4:$G$49,2,FALSE))</f>
        <v>0</v>
      </c>
      <c r="J7" s="58"/>
      <c r="K7" s="58"/>
      <c r="L7" s="58"/>
    </row>
    <row r="8" spans="1:12" s="19" customFormat="1" ht="20.100000000000001" customHeight="1" x14ac:dyDescent="0.3">
      <c r="A8" s="37" t="s">
        <v>32</v>
      </c>
      <c r="B8" s="48">
        <v>45</v>
      </c>
      <c r="C8" s="48"/>
      <c r="D8" s="48"/>
      <c r="E8" s="42"/>
      <c r="F8" s="71" t="s">
        <v>40</v>
      </c>
      <c r="G8" s="71"/>
      <c r="H8" s="71"/>
      <c r="I8" s="61">
        <f>(I6)*0.1</f>
        <v>92910.8</v>
      </c>
      <c r="J8" s="61"/>
      <c r="K8" s="61"/>
      <c r="L8" s="61"/>
    </row>
    <row r="9" spans="1:12" s="19" customFormat="1" ht="20.100000000000001" customHeight="1" x14ac:dyDescent="0.3">
      <c r="A9" s="37" t="s">
        <v>59</v>
      </c>
      <c r="B9" s="55" t="s">
        <v>58</v>
      </c>
      <c r="C9" s="55"/>
      <c r="D9" s="55"/>
      <c r="E9" s="42"/>
      <c r="F9" s="56">
        <f>+IF(B10="SI","Bonif. Título Secundario",)</f>
        <v>0</v>
      </c>
      <c r="G9" s="56"/>
      <c r="H9" s="56"/>
      <c r="I9" s="58">
        <f>+IF($B$10="SI",I6*Datos!$B$2,)</f>
        <v>0</v>
      </c>
      <c r="J9" s="58"/>
      <c r="K9" s="58"/>
      <c r="L9" s="58"/>
    </row>
    <row r="10" spans="1:12" s="19" customFormat="1" ht="20.100000000000001" customHeight="1" x14ac:dyDescent="0.3">
      <c r="A10" s="37" t="s">
        <v>34</v>
      </c>
      <c r="B10" s="48" t="s">
        <v>18</v>
      </c>
      <c r="C10" s="48"/>
      <c r="D10" s="48"/>
      <c r="E10" s="42"/>
      <c r="F10" s="71">
        <f>+IF(B11="SI","Bonif. Capacitación",)</f>
        <v>0</v>
      </c>
      <c r="G10" s="71"/>
      <c r="H10" s="71"/>
      <c r="I10" s="61">
        <f>+IF($B$11="SI",I6*Datos!$B$3,)</f>
        <v>0</v>
      </c>
      <c r="J10" s="61"/>
      <c r="K10" s="61"/>
      <c r="L10" s="61"/>
    </row>
    <row r="11" spans="1:12" s="19" customFormat="1" ht="20.100000000000001" customHeight="1" x14ac:dyDescent="0.3">
      <c r="A11" s="37" t="s">
        <v>35</v>
      </c>
      <c r="B11" s="48" t="s">
        <v>18</v>
      </c>
      <c r="C11" s="48"/>
      <c r="D11" s="48"/>
      <c r="E11" s="42"/>
      <c r="F11" s="56">
        <f>+IF(B12="SI","Bonif. Tarea Riesgosa",)</f>
        <v>0</v>
      </c>
      <c r="G11" s="56"/>
      <c r="H11" s="56"/>
      <c r="I11" s="58">
        <f>+IF($B$12="SI",I6*Datos!$B$4,)</f>
        <v>0</v>
      </c>
      <c r="J11" s="58"/>
      <c r="K11" s="58"/>
      <c r="L11" s="58"/>
    </row>
    <row r="12" spans="1:12" s="19" customFormat="1" ht="20.100000000000001" customHeight="1" x14ac:dyDescent="0.3">
      <c r="A12" s="37" t="s">
        <v>36</v>
      </c>
      <c r="B12" s="48" t="s">
        <v>18</v>
      </c>
      <c r="C12" s="48"/>
      <c r="D12" s="48"/>
      <c r="E12" s="42"/>
      <c r="F12" s="57" t="s">
        <v>1</v>
      </c>
      <c r="G12" s="57"/>
      <c r="H12" s="57"/>
      <c r="I12" s="59">
        <f>SUM(I6:I11)</f>
        <v>1022018.8</v>
      </c>
      <c r="J12" s="59"/>
      <c r="K12" s="59"/>
      <c r="L12" s="59"/>
    </row>
    <row r="13" spans="1:12" s="19" customFormat="1" ht="20.100000000000001" customHeight="1" x14ac:dyDescent="0.3">
      <c r="A13" s="37" t="s">
        <v>57</v>
      </c>
      <c r="B13" s="48" t="s">
        <v>18</v>
      </c>
      <c r="C13" s="48"/>
      <c r="D13" s="48"/>
      <c r="E13" s="42"/>
      <c r="F13" s="50" t="s">
        <v>3</v>
      </c>
      <c r="G13" s="50"/>
      <c r="H13" s="50"/>
      <c r="I13" s="60">
        <f>I12*$B$16/100</f>
        <v>183963.38400000002</v>
      </c>
      <c r="J13" s="60"/>
      <c r="K13" s="60"/>
      <c r="L13" s="60"/>
    </row>
    <row r="14" spans="1:12" s="19" customFormat="1" ht="16.5" x14ac:dyDescent="0.3">
      <c r="A14" s="23"/>
      <c r="B14" s="23"/>
      <c r="E14" s="42"/>
      <c r="F14" s="51">
        <f>+IF(I14&gt;0,"O. Social (LCT Art. 92º Ter )",)</f>
        <v>0</v>
      </c>
      <c r="G14" s="51"/>
      <c r="H14" s="51"/>
      <c r="I14" s="68">
        <f>IF(($B$15-I12)*0.03&gt;0,IF($B$8&lt;30,($B$15-I12)*0.03,0),)</f>
        <v>0</v>
      </c>
      <c r="J14" s="68"/>
      <c r="K14" s="68"/>
      <c r="L14" s="68"/>
    </row>
    <row r="15" spans="1:12" s="19" customFormat="1" ht="20.100000000000001" customHeight="1" x14ac:dyDescent="0.35">
      <c r="A15" s="38" t="s">
        <v>37</v>
      </c>
      <c r="B15" s="49">
        <f>+VLOOKUP($B$7,Indices!$A$1:$E$343,2,FALSE)</f>
        <v>929108</v>
      </c>
      <c r="C15" s="49"/>
      <c r="D15" s="49"/>
      <c r="E15" s="42"/>
      <c r="F15" s="52" t="s">
        <v>2</v>
      </c>
      <c r="G15" s="53"/>
      <c r="H15" s="54"/>
      <c r="I15" s="70">
        <f>I12-I13-I14</f>
        <v>838055.41599999997</v>
      </c>
      <c r="J15" s="70"/>
      <c r="K15" s="70"/>
      <c r="L15" s="70"/>
    </row>
    <row r="16" spans="1:12" s="19" customFormat="1" ht="20.100000000000001" customHeight="1" x14ac:dyDescent="0.3">
      <c r="A16" s="38" t="s">
        <v>4</v>
      </c>
      <c r="B16" s="49">
        <f>IF(B13="NO",Datos!B9,Datos!B9+1)</f>
        <v>18</v>
      </c>
      <c r="C16" s="49"/>
      <c r="D16" s="49"/>
      <c r="E16" s="42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69">
        <f>+IF(AND(B8&gt;29,B8&lt;45)," Por Art. 92º Ter LCT debe cobrar por 45 Hs",)</f>
        <v>0</v>
      </c>
      <c r="B18" s="69"/>
      <c r="C18" s="69"/>
      <c r="D18" s="69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63" t="s">
        <v>41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2" ht="26.25" customHeight="1" x14ac:dyDescent="0.25">
      <c r="A21" s="62" t="str">
        <f>VLOOKUP(CONCATENATE(B6," ",B7),Cargos!A13:B27,2,FALSE)</f>
        <v>Jefe de Personal.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1:12" ht="21.75" customHeight="1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</row>
  </sheetData>
  <sheetProtection password="83F0" sheet="1" selectLockedCells="1"/>
  <mergeCells count="37"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B7:D7"/>
    <mergeCell ref="B8:D8"/>
    <mergeCell ref="B9:D9"/>
    <mergeCell ref="B10:D10"/>
    <mergeCell ref="B11:D11"/>
    <mergeCell ref="B12:D12"/>
    <mergeCell ref="B13:D13"/>
    <mergeCell ref="B15:D15"/>
    <mergeCell ref="B16:D16"/>
    <mergeCell ref="F13:H13"/>
    <mergeCell ref="F14:H14"/>
    <mergeCell ref="F15:H15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2025-04-24T17:47:38Z</dcterms:modified>
</cp:coreProperties>
</file>