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Disco Julio\Grillas\Pers. Programático\2024\"/>
    </mc:Choice>
  </mc:AlternateContent>
  <workbookProtection workbookAlgorithmName="SHA-512" workbookHashValue="SvTGCsfQydzrILQ4JNy5u2vS73zatMYH0v/Mz1gI1x1Hlcxvw2vAnkpyZ5VdA3FynaooNqNlDIHQXdZ+0Tz6jA==" workbookSaltValue="pA9evPmIcoDUig55vySm7g==" workbookSpinCount="100000" lockStructure="1"/>
  <bookViews>
    <workbookView xWindow="0" yWindow="0" windowWidth="28800" windowHeight="11700" tabRatio="601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Docente'!$A$1:$L$37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62913" fullPrecision="0"/>
</workbook>
</file>

<file path=xl/calcChain.xml><?xml version="1.0" encoding="utf-8"?>
<calcChain xmlns="http://schemas.openxmlformats.org/spreadsheetml/2006/main">
  <c r="E17" i="17" l="1"/>
  <c r="A33" i="17" l="1"/>
  <c r="L118" i="19"/>
  <c r="L117" i="19"/>
  <c r="L116" i="19"/>
  <c r="L115" i="19"/>
  <c r="L114" i="19"/>
  <c r="L113" i="19"/>
  <c r="L112" i="19"/>
  <c r="L110" i="19"/>
  <c r="L109" i="19"/>
  <c r="L101" i="19"/>
  <c r="L100" i="19"/>
  <c r="L99" i="19"/>
  <c r="L94" i="19"/>
  <c r="L93" i="19"/>
  <c r="L92" i="19"/>
  <c r="L91" i="19"/>
  <c r="L90" i="19"/>
  <c r="L89" i="19"/>
  <c r="L88" i="19"/>
  <c r="L85" i="19"/>
  <c r="L84" i="19"/>
  <c r="L83" i="19"/>
  <c r="L82" i="19"/>
  <c r="L81" i="19"/>
  <c r="L80" i="19"/>
  <c r="L79" i="19"/>
  <c r="L78" i="19"/>
  <c r="L77" i="19"/>
  <c r="L76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3" i="19"/>
  <c r="L42" i="19"/>
  <c r="L41" i="19"/>
  <c r="L40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6" i="19"/>
  <c r="L5" i="19"/>
  <c r="L4" i="19"/>
  <c r="L7" i="19"/>
  <c r="B31" i="9"/>
  <c r="L70" i="19" s="1"/>
  <c r="B30" i="9"/>
  <c r="L97" i="19" s="1"/>
  <c r="L23" i="19" l="1"/>
  <c r="L67" i="19"/>
  <c r="L71" i="19"/>
  <c r="L98" i="19"/>
  <c r="L38" i="19"/>
  <c r="L28" i="19"/>
  <c r="L33" i="19"/>
  <c r="L37" i="19"/>
  <c r="L47" i="19"/>
  <c r="L25" i="19"/>
  <c r="L29" i="19"/>
  <c r="L34" i="19"/>
  <c r="L48" i="19"/>
  <c r="L64" i="19"/>
  <c r="L68" i="19"/>
  <c r="L12" i="19"/>
  <c r="L26" i="19"/>
  <c r="L31" i="19"/>
  <c r="L35" i="19"/>
  <c r="L44" i="19"/>
  <c r="L65" i="19"/>
  <c r="L69" i="19"/>
  <c r="L86" i="19"/>
  <c r="L96" i="19"/>
  <c r="L119" i="19"/>
  <c r="L27" i="19"/>
  <c r="L32" i="19"/>
  <c r="L36" i="19"/>
  <c r="L46" i="19"/>
  <c r="L66" i="19"/>
  <c r="B26" i="9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C27" i="9" l="1"/>
  <c r="C7" i="9"/>
  <c r="A28" i="17"/>
  <c r="A30" i="17"/>
  <c r="A32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1" i="17"/>
  <c r="C14" i="9"/>
  <c r="B11" i="9"/>
  <c r="I119" i="19" s="1"/>
  <c r="B10" i="9"/>
  <c r="B8" i="9"/>
  <c r="H71" i="19" s="1"/>
  <c r="B7" i="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2" i="17"/>
  <c r="I32" i="17"/>
  <c r="G32" i="17"/>
  <c r="E32" i="17"/>
  <c r="C32" i="17"/>
  <c r="L32" i="17"/>
  <c r="J32" i="17"/>
  <c r="H32" i="17"/>
  <c r="F32" i="17"/>
  <c r="D32" i="17"/>
  <c r="A4" i="17"/>
  <c r="L21" i="17" l="1"/>
  <c r="D111" i="19"/>
  <c r="L111" i="19" s="1"/>
  <c r="D75" i="19"/>
  <c r="L75" i="19" s="1"/>
  <c r="B21" i="9"/>
  <c r="B4" i="9"/>
  <c r="B20" i="9"/>
  <c r="C21" i="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8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8" i="17" s="1"/>
  <c r="I27" i="17"/>
  <c r="I38" i="17" s="1"/>
  <c r="K27" i="17"/>
  <c r="K38" i="17" s="1"/>
  <c r="E27" i="17"/>
  <c r="E38" i="17" s="1"/>
  <c r="G27" i="17"/>
  <c r="G38" i="17" s="1"/>
  <c r="J27" i="17"/>
  <c r="J38" i="17" s="1"/>
  <c r="D27" i="17"/>
  <c r="D38" i="17" s="1"/>
  <c r="C27" i="17"/>
  <c r="C38" i="17" s="1"/>
  <c r="H27" i="17"/>
  <c r="H38" i="17" s="1"/>
  <c r="L29" i="17"/>
  <c r="B27" i="17"/>
  <c r="B38" i="17" s="1"/>
  <c r="L35" i="17" l="1"/>
  <c r="L31" i="17"/>
  <c r="F29" i="17"/>
  <c r="F35" i="17" s="1"/>
  <c r="H29" i="17"/>
  <c r="H35" i="17" s="1"/>
  <c r="J29" i="17"/>
  <c r="J35" i="17" s="1"/>
  <c r="E29" i="17"/>
  <c r="E35" i="17" s="1"/>
  <c r="C29" i="17"/>
  <c r="C35" i="17" s="1"/>
  <c r="D29" i="17"/>
  <c r="D35" i="17" s="1"/>
  <c r="G29" i="17"/>
  <c r="G35" i="17" s="1"/>
  <c r="K29" i="17"/>
  <c r="K35" i="17" s="1"/>
  <c r="I29" i="17"/>
  <c r="I35" i="17" s="1"/>
  <c r="B29" i="17"/>
  <c r="B35" i="17" s="1"/>
  <c r="A27" i="17"/>
  <c r="L34" i="17" l="1"/>
  <c r="L36" i="17" s="1"/>
  <c r="B31" i="17"/>
  <c r="C31" i="17"/>
  <c r="E31" i="17"/>
  <c r="D31" i="17"/>
  <c r="J31" i="17"/>
  <c r="G31" i="17"/>
  <c r="H31" i="17"/>
  <c r="I31" i="17"/>
  <c r="F31" i="17"/>
  <c r="K31" i="17"/>
  <c r="J34" i="17" l="1"/>
  <c r="J36" i="17" s="1"/>
  <c r="B34" i="17"/>
  <c r="B36" i="17" s="1"/>
  <c r="I34" i="17"/>
  <c r="I36" i="17" s="1"/>
  <c r="D34" i="17"/>
  <c r="E34" i="17"/>
  <c r="E36" i="17" s="1"/>
  <c r="F34" i="17"/>
  <c r="F36" i="17" s="1"/>
  <c r="H34" i="17"/>
  <c r="H36" i="17" s="1"/>
  <c r="K34" i="17"/>
  <c r="K36" i="17" s="1"/>
  <c r="G34" i="17"/>
  <c r="C34" i="17"/>
  <c r="D36" i="17" l="1"/>
  <c r="C36" i="17"/>
  <c r="G36" i="17"/>
</calcChain>
</file>

<file path=xl/sharedStrings.xml><?xml version="1.0" encoding="utf-8"?>
<sst xmlns="http://schemas.openxmlformats.org/spreadsheetml/2006/main" count="402" uniqueCount="235">
  <si>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</si>
  <si>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</si>
  <si>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</si>
  <si>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</si>
  <si>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</si>
  <si>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</si>
  <si>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</si>
  <si>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</si>
  <si>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</si>
  <si>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</si>
  <si>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</si>
  <si>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</si>
  <si>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</si>
  <si>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</si>
  <si>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</si>
  <si>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</si>
  <si>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</si>
  <si>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</si>
  <si>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</si>
  <si>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</si>
  <si>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</si>
  <si>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</si>
  <si>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</si>
  <si>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</si>
  <si>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</si>
  <si>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</si>
  <si>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</si>
  <si>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</si>
  <si>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</si>
  <si>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</si>
  <si>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</si>
  <si>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</si>
  <si>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</si>
  <si>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</si>
  <si>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</si>
  <si>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</si>
  <si>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</si>
  <si>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</si>
  <si>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</si>
  <si>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</si>
  <si>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</si>
  <si>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</si>
  <si>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</si>
  <si>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</si>
  <si>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</si>
  <si>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</si>
  <si>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</si>
  <si>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</si>
  <si>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</si>
  <si>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</si>
  <si>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</si>
  <si>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</si>
  <si>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</si>
  <si>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</si>
  <si>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</si>
  <si>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</si>
  <si>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</si>
  <si>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</si>
  <si>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</si>
  <si>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</si>
  <si>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</si>
  <si>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</si>
  <si>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</si>
  <si>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</si>
  <si>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</si>
  <si>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</si>
  <si>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</si>
  <si>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</si>
  <si>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</si>
  <si>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</si>
  <si>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</si>
  <si>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</si>
  <si>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</si>
  <si>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</si>
  <si>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</si>
  <si>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</si>
  <si>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</si>
  <si>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</si>
  <si>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</si>
  <si>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</si>
  <si>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</si>
  <si>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</si>
  <si>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</si>
  <si>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</si>
  <si>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</si>
  <si>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</si>
  <si>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</si>
  <si>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</si>
  <si>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</si>
  <si>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</si>
  <si>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</si>
  <si>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</si>
  <si>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</si>
  <si>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</si>
  <si>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</si>
  <si>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</si>
  <si>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</si>
  <si>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</si>
  <si>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</si>
  <si>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</si>
  <si>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</si>
  <si>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</si>
  <si>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</si>
  <si>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</si>
  <si>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</si>
  <si>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</si>
  <si>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</si>
  <si>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</si>
  <si>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</si>
  <si>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</si>
  <si>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</si>
  <si>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</si>
  <si>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</si>
  <si>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</si>
  <si>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</si>
  <si>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</si>
  <si>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</si>
  <si>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</si>
  <si>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</si>
  <si>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</si>
  <si>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</si>
  <si>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</si>
  <si>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</si>
  <si>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</si>
  <si>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</si>
  <si>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</si>
  <si>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</si>
  <si>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</si>
  <si>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</si>
  <si>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</si>
  <si>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</si>
  <si>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</si>
  <si>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</si>
  <si>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</si>
  <si>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</si>
  <si>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</si>
  <si>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</si>
  <si>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</si>
  <si>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</si>
  <si>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</si>
  <si>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</si>
  <si>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</si>
  <si>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</si>
  <si>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</si>
  <si>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</si>
  <si>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</si>
  <si>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</si>
  <si>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</si>
  <si>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</si>
  <si>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</si>
  <si>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</si>
  <si>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</si>
  <si>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</si>
  <si>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</si>
  <si>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</si>
  <si>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</si>
  <si>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</si>
  <si>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</si>
  <si>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</si>
  <si>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</si>
  <si>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</si>
  <si>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</si>
  <si>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</si>
  <si>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</si>
  <si>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</si>
  <si>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</si>
  <si>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</si>
  <si>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</si>
  <si>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</si>
  <si>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</si>
  <si>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</si>
  <si>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</si>
  <si>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</si>
  <si>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</si>
  <si>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</si>
  <si>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</si>
  <si>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</si>
  <si>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</si>
  <si>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</si>
  <si>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</si>
  <si>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</si>
  <si>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</si>
  <si>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</si>
  <si>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</si>
  <si>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</si>
  <si>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</si>
  <si>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</si>
  <si>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</si>
  <si>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</si>
  <si>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</si>
  <si>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</si>
  <si>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</si>
  <si>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</si>
  <si>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</si>
  <si>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</si>
  <si>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</si>
  <si>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</si>
  <si>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</si>
  <si>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</si>
  <si>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</si>
  <si>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</si>
  <si>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</si>
  <si>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</si>
  <si>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</si>
  <si>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</si>
  <si>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</si>
  <si>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</si>
  <si>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</si>
  <si>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</si>
  <si>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</si>
  <si>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</si>
  <si>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</si>
  <si>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</si>
  <si>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</si>
  <si>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</si>
  <si>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</si>
  <si>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</si>
  <si>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</si>
  <si>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</si>
  <si>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</si>
  <si>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</si>
  <si>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</si>
  <si>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</si>
  <si>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</si>
  <si>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</si>
  <si>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</si>
  <si>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</si>
  <si>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</si>
  <si>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COMP TRANSITORIA JS</t>
  </si>
  <si>
    <t>COMP TRANSITORIA JC</t>
  </si>
  <si>
    <t>COMP TRANSITORIA X HS</t>
  </si>
  <si>
    <t>Compensación Transitoria</t>
  </si>
  <si>
    <t>Base Imponible Máxima</t>
  </si>
  <si>
    <t>OJO CAMBIAR ESTE VALOR!!!!!!!!!!!!!!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</si>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</sst>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General_)"/>
    <numFmt numFmtId="165" formatCode="0.000"/>
    <numFmt numFmtId="166" formatCode="0.0000"/>
    <numFmt numFmtId="167" formatCode="0.0000000000"/>
    <numFmt numFmtId="168" formatCode="0.00000"/>
    <numFmt numFmtId="170" formatCode="#,##0.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  <font>
      <b/>
      <sz val="10"/>
      <color rgb="FFFFFF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5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2" fontId="0" fillId="0" borderId="1" xfId="0" applyNumberFormat="1" applyFill="1" applyBorder="1"/>
    <xf numFmtId="0" fontId="0" fillId="20" borderId="1" xfId="0" applyFill="1" applyBorder="1"/>
    <xf numFmtId="2" fontId="0" fillId="20" borderId="1" xfId="0" applyNumberFormat="1" applyFill="1" applyBorder="1"/>
    <xf numFmtId="166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166" fontId="0" fillId="21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7" fontId="0" fillId="0" borderId="20" xfId="0" applyNumberFormat="1" applyBorder="1"/>
    <xf numFmtId="0" fontId="0" fillId="0" borderId="6" xfId="0" applyBorder="1"/>
    <xf numFmtId="2" fontId="0" fillId="0" borderId="21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2" fontId="0" fillId="0" borderId="25" xfId="0" applyNumberFormat="1" applyBorder="1"/>
    <xf numFmtId="0" fontId="0" fillId="0" borderId="26" xfId="0" applyBorder="1"/>
    <xf numFmtId="0" fontId="0" fillId="0" borderId="27" xfId="0" applyBorder="1" applyAlignment="1">
      <alignment horizontal="center"/>
    </xf>
    <xf numFmtId="2" fontId="0" fillId="0" borderId="2" xfId="0" applyNumberFormat="1" applyBorder="1"/>
    <xf numFmtId="166" fontId="0" fillId="0" borderId="25" xfId="0" applyNumberFormat="1" applyBorder="1"/>
    <xf numFmtId="0" fontId="0" fillId="0" borderId="28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28" xfId="0" applyNumberFormat="1" applyBorder="1"/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6" fontId="0" fillId="0" borderId="26" xfId="0" applyNumberFormat="1" applyBorder="1"/>
    <xf numFmtId="2" fontId="0" fillId="0" borderId="20" xfId="0" applyNumberFormat="1" applyBorder="1"/>
    <xf numFmtId="165" fontId="0" fillId="0" borderId="21" xfId="0" applyNumberFormat="1" applyFill="1" applyBorder="1"/>
    <xf numFmtId="0" fontId="0" fillId="0" borderId="28" xfId="0" applyFill="1" applyBorder="1"/>
    <xf numFmtId="0" fontId="0" fillId="0" borderId="0" xfId="0" applyFill="1" applyBorder="1"/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0" fillId="0" borderId="25" xfId="0" applyNumberForma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8" fontId="0" fillId="0" borderId="20" xfId="0" applyNumberFormat="1" applyBorder="1"/>
    <xf numFmtId="166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  <xf numFmtId="0" fontId="30" fillId="25" borderId="0" xfId="0" applyFont="1" applyFill="1"/>
    <xf numFmtId="4" fontId="3" fillId="0" borderId="1" xfId="0" applyNumberFormat="1" applyFont="1" applyBorder="1"/>
    <xf numFmtId="4" fontId="14" fillId="0" borderId="18" xfId="0" applyNumberFormat="1" applyFont="1" applyFill="1" applyBorder="1" applyAlignment="1" applyProtection="1">
      <alignment horizontal="center"/>
      <protection hidden="1"/>
    </xf>
    <xf numFmtId="4" fontId="14" fillId="0" borderId="14" xfId="0" applyNumberFormat="1" applyFont="1" applyFill="1" applyBorder="1" applyAlignment="1" applyProtection="1">
      <alignment horizontal="center"/>
      <protection hidden="1"/>
    </xf>
    <xf numFmtId="4" fontId="14" fillId="0" borderId="19" xfId="0" applyNumberFormat="1" applyFont="1" applyFill="1" applyBorder="1" applyAlignment="1" applyProtection="1">
      <alignment horizontal="center"/>
      <protection hidden="1"/>
    </xf>
    <xf numFmtId="4" fontId="19" fillId="13" borderId="18" xfId="0" applyNumberFormat="1" applyFont="1" applyFill="1" applyBorder="1" applyAlignment="1" applyProtection="1">
      <alignment horizontal="center"/>
      <protection hidden="1"/>
    </xf>
    <xf numFmtId="4" fontId="19" fillId="13" borderId="14" xfId="0" applyNumberFormat="1" applyFont="1" applyFill="1" applyBorder="1" applyAlignment="1" applyProtection="1">
      <alignment horizontal="center"/>
      <protection hidden="1"/>
    </xf>
    <xf numFmtId="4" fontId="19" fillId="13" borderId="19" xfId="0" applyNumberFormat="1" applyFont="1" applyFill="1" applyBorder="1" applyAlignment="1" applyProtection="1">
      <alignment horizontal="center"/>
      <protection hidden="1"/>
    </xf>
    <xf numFmtId="4" fontId="15" fillId="0" borderId="18" xfId="0" applyNumberFormat="1" applyFont="1" applyFill="1" applyBorder="1" applyAlignment="1" applyProtection="1">
      <alignment horizontal="center"/>
      <protection hidden="1"/>
    </xf>
    <xf numFmtId="4" fontId="19" fillId="13" borderId="18" xfId="3" applyNumberFormat="1" applyFont="1" applyFill="1" applyBorder="1" applyAlignment="1" applyProtection="1">
      <alignment horizontal="center"/>
      <protection hidden="1"/>
    </xf>
    <xf numFmtId="4" fontId="22" fillId="24" borderId="18" xfId="2" applyNumberFormat="1" applyFont="1" applyFill="1" applyBorder="1" applyAlignment="1" applyProtection="1">
      <alignment horizontal="center"/>
      <protection hidden="1"/>
    </xf>
    <xf numFmtId="4" fontId="27" fillId="15" borderId="13" xfId="1" applyNumberFormat="1" applyFont="1" applyFill="1" applyBorder="1" applyAlignment="1" applyProtection="1">
      <alignment horizontal="center" vertical="center"/>
      <protection hidden="1"/>
    </xf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4" fontId="24" fillId="19" borderId="14" xfId="0" applyNumberFormat="1" applyFont="1" applyFill="1" applyBorder="1" applyAlignment="1" applyProtection="1">
      <alignment horizontal="center"/>
      <protection hidden="1"/>
    </xf>
    <xf numFmtId="4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170" fontId="23" fillId="19" borderId="14" xfId="4" applyNumberFormat="1" applyFont="1" applyFill="1" applyBorder="1" applyAlignment="1" applyProtection="1">
      <alignment horizont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9525</xdr:rowOff>
    </xdr:from>
    <xdr:to>
      <xdr:col>11</xdr:col>
      <xdr:colOff>1042147</xdr:colOff>
      <xdr:row>36</xdr:row>
      <xdr:rowOff>1163954</xdr:rowOff>
    </xdr:to>
    <xdr:pic>
      <xdr:nvPicPr>
        <xdr:cNvPr id="8" name="7 Imagen" descr="pie Planill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3682382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3704794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9:L36" totalsRowShown="0" headerRowDxfId="15" dataDxfId="13" headerRowBorderDxfId="14" tableBorderDxfId="12" totalsRowBorderDxfId="11">
  <tableColumns count="11">
    <tableColumn id="1" name="INICIAL" dataDxfId="10"/>
    <tableColumn id="2" name="1 AÑO" dataDxfId="9"/>
    <tableColumn id="3" name="4 AÑOS" dataDxfId="8"/>
    <tableColumn id="4" name="7 AÑOS" dataDxfId="7"/>
    <tableColumn id="5" name="10 AÑOS" dataDxfId="6"/>
    <tableColumn id="6" name="12 AÑOS" dataDxfId="5"/>
    <tableColumn id="7" name="14 AÑOS" dataDxfId="4"/>
    <tableColumn id="8" name="16 AÑOS" dataDxfId="3"/>
    <tableColumn id="9" name="18 AÑOS" dataDxfId="2"/>
    <tableColumn id="10" name="20 AÑOS" dataDxfId="1"/>
    <tableColumn id="11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7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36" t="s">
        <v>163</v>
      </c>
      <c r="G1" s="72" t="s">
        <v>183</v>
      </c>
      <c r="H1" s="138" t="s">
        <v>189</v>
      </c>
      <c r="I1" s="138" t="s">
        <v>190</v>
      </c>
      <c r="J1" s="140" t="s">
        <v>174</v>
      </c>
      <c r="K1" s="140" t="s">
        <v>175</v>
      </c>
      <c r="L1" s="134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37"/>
      <c r="G2" s="71"/>
      <c r="H2" s="139"/>
      <c r="I2" s="139"/>
      <c r="J2" s="137"/>
      <c r="K2" s="137"/>
      <c r="L2" s="135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73" t="s">
        <v>185</v>
      </c>
      <c r="F4" s="37">
        <f>+IF(D4&gt;$D$19,Datos!$B$15,IF(Datos!$B$15/$D$19*D4&lt;Datos!$C$15,Datos!$C$15,Datos!$B$15/$D$19*D4))</f>
        <v>529856</v>
      </c>
      <c r="G4" s="37">
        <f>+IF($D4&gt;$D$19,Datos!$B$3,IF(Datos!$B$3/$D$19*$D4&lt;Datos!$C$3,Datos!$C$3,Datos!$B$3/$D$19*$D4))</f>
        <v>188317</v>
      </c>
      <c r="H4" s="37">
        <f>+IF($D4&gt;$D$19,Datos!$B$6,IF(Datos!$B$6/$D$19*$D4&lt;Datos!$C$6,Datos!$C$6,Datos!$B$6/$D$19*$D4))</f>
        <v>121892</v>
      </c>
      <c r="I4" s="37">
        <f>+IF($D4&gt;$D$19,Datos!$B$9,IF(Datos!$B$9/$D$19*$D4&lt;Datos!$C$9,Datos!$C$9,Datos!$B$9/$D$19*$D4))</f>
        <v>151040</v>
      </c>
      <c r="J4" s="30">
        <v>1</v>
      </c>
      <c r="K4" s="30">
        <v>1</v>
      </c>
      <c r="L4" s="76">
        <f>+IF(D4&lt;$D$19,Datos!$B$29/$D$19*D4,Datos!$B$29)</f>
        <v>30000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73" t="s">
        <v>185</v>
      </c>
      <c r="F5" s="37">
        <f>+IF(D5&gt;$D$19,Datos!$B$15,IF(Datos!$B$15/$D$19*D5&lt;Datos!$C$15,Datos!$C$15,Datos!$B$15/$D$19*D5))</f>
        <v>529856</v>
      </c>
      <c r="G5" s="37">
        <f>+IF(D5&gt;$D$19,Datos!$B$3,IF(Datos!$B$3/$D$19*D5&lt;Datos!$C$3,Datos!$C$3,Datos!$B$3/$D$19*D5))</f>
        <v>188317</v>
      </c>
      <c r="H5" s="37">
        <f>+IF($D5&gt;$D$19,Datos!$B$6,IF(Datos!$B$6/$D$19*$D5&lt;Datos!$C$6,Datos!$C$6,Datos!$B$6/$D$19*$D5))</f>
        <v>121892</v>
      </c>
      <c r="I5" s="37">
        <f>+IF($D5&gt;$D$19,Datos!$B$9,IF(Datos!$B$9/$D$19*$D5&lt;Datos!$C$9,Datos!$C$9,Datos!$B$9/$D$19*$D5))</f>
        <v>151040</v>
      </c>
      <c r="J5" s="30">
        <v>1</v>
      </c>
      <c r="L5" s="76">
        <f>+IF(D5&lt;$D$19,Datos!$B$29/$D$19*D5,Datos!$B$29)</f>
        <v>30000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73" t="s">
        <v>185</v>
      </c>
      <c r="F6" s="37">
        <f>+IF(D6&gt;$D$19,Datos!$B$15,IF(Datos!$B$15/$D$19*D6&lt;Datos!$C$15,Datos!$C$15,Datos!$B$15/$D$19*D6))</f>
        <v>529856</v>
      </c>
      <c r="G6" s="37">
        <f>+IF(D6&gt;$D$19,Datos!$B$3,IF(Datos!$B$3/$D$19*D6&lt;Datos!$C$3,Datos!$C$3,Datos!$B$3/$D$19*D6))</f>
        <v>188317</v>
      </c>
      <c r="H6" s="37">
        <f>+IF($D6&gt;$D$19,Datos!$B$6,IF(Datos!$B$6/$D$19*$D6&lt;Datos!$C$6,Datos!$C$6,Datos!$B$6/$D$19*$D6))</f>
        <v>121892</v>
      </c>
      <c r="I6" s="37">
        <f>+IF($D6&gt;$D$19,Datos!$B$9,IF(Datos!$B$9/$D$19*$D6&lt;Datos!$C$9,Datos!$C$9,Datos!$B$9/$D$19*$D6))</f>
        <v>151040</v>
      </c>
      <c r="J6" s="30">
        <v>1</v>
      </c>
      <c r="L6" s="76">
        <f>+IF(D6&lt;$D$19,Datos!$B$29/$D$19*D6,Datos!$B$29)</f>
        <v>30000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73" t="s">
        <v>185</v>
      </c>
      <c r="F7" s="37">
        <f>+IF(D7&gt;$D$19,Datos!$B$15,IF(Datos!$B$15/$D$19*D7&lt;Datos!$C$15,Datos!$C$15,Datos!$B$15/$D$19*D7))</f>
        <v>529856</v>
      </c>
      <c r="G7" s="37">
        <f>+IF(D7&gt;$D$19,Datos!$B$3,IF(Datos!$B$3/$D$19*D7&lt;Datos!$C$3,Datos!$C$3,Datos!$B$3/$D$19*D7))</f>
        <v>188317</v>
      </c>
      <c r="H7" s="37">
        <f>+IF($D7&gt;$D$19,Datos!$B$6,IF(Datos!$B$6/$D$19*$D7&lt;Datos!$C$6,Datos!$C$6,Datos!$B$6/$D$19*$D7))</f>
        <v>121892</v>
      </c>
      <c r="I7" s="37">
        <f>+IF($D7&gt;$D$19,Datos!$B$9,IF(Datos!$B$9/$D$19*$D7&lt;Datos!$C$9,Datos!$C$9,Datos!$B$9/$D$19*$D7))</f>
        <v>151040</v>
      </c>
      <c r="L7" s="76">
        <f>+IF(D7&lt;$D$19,Datos!$B$29/$D$19*D7,Datos!$B$29)</f>
        <v>30000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73" t="s">
        <v>185</v>
      </c>
      <c r="F8" s="37">
        <f>+IF(D8&gt;$D$19,Datos!$B$15,IF(Datos!$B$15/$D$19*D8&lt;Datos!$C$15,Datos!$C$15,Datos!$B$15/$D$19*D8))</f>
        <v>458197.06</v>
      </c>
      <c r="G8" s="37">
        <f>+IF(D8&gt;$D$19,Datos!$B$3,IF(Datos!$B$3/$D$19*D8&lt;Datos!$C$3,Datos!$C$3,Datos!$B$3/$D$19*D8))</f>
        <v>179369</v>
      </c>
      <c r="H8" s="37">
        <f>+IF($D8&gt;$D$19,Datos!$B$6,IF(Datos!$B$6/$D$19*$D8&lt;Datos!$C$6,Datos!$C$6,Datos!$B$6/$D$19*$D8))</f>
        <v>116963</v>
      </c>
      <c r="I8" s="37">
        <f>+IF($D8&gt;$D$19,Datos!$B$9,IF(Datos!$B$9/$D$19*$D8&lt;Datos!$C$9,Datos!$C$9,Datos!$B$9/$D$19*$D8))</f>
        <v>144942</v>
      </c>
      <c r="L8" s="76">
        <f>+IF(D8&lt;$D$19,Datos!$B$29/$D$19*D8,Datos!$B$29)</f>
        <v>25942.73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73" t="s">
        <v>185</v>
      </c>
      <c r="F9" s="37">
        <f>+IF(D9&gt;$D$19,Datos!$B$15,IF(Datos!$B$15/$D$19*D9&lt;Datos!$C$15,Datos!$C$15,Datos!$B$15/$D$19*D9))</f>
        <v>529856</v>
      </c>
      <c r="G9" s="37">
        <f>+IF(D9&gt;$D$19,Datos!$B$3,IF(Datos!$B$3/$D$19*D9&lt;Datos!$C$3,Datos!$C$3,Datos!$B$3/$D$19*D9))</f>
        <v>188317</v>
      </c>
      <c r="H9" s="37">
        <f>+IF($D9&gt;$D$19,Datos!$B$6,IF(Datos!$B$6/$D$19*$D9&lt;Datos!$C$6,Datos!$C$6,Datos!$B$6/$D$19*$D9))</f>
        <v>121892</v>
      </c>
      <c r="I9" s="37">
        <f>+IF($D9&gt;$D$19,Datos!$B$9,IF(Datos!$B$9/$D$19*$D9&lt;Datos!$C$9,Datos!$C$9,Datos!$B$9/$D$19*$D9))</f>
        <v>151040</v>
      </c>
      <c r="L9" s="76">
        <f>+IF(D9&lt;$D$19,Datos!$B$29/$D$19*D9,Datos!$B$29)</f>
        <v>30000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73" t="s">
        <v>185</v>
      </c>
      <c r="F10" s="37">
        <f>+IF(D10&gt;$D$19,Datos!$B$15,IF(Datos!$B$15/$D$19*D10&lt;Datos!$C$15,Datos!$C$15,Datos!$B$15/$D$19*D10))</f>
        <v>529856</v>
      </c>
      <c r="G10" s="37">
        <f>+IF(D10&gt;$D$19,Datos!$B$3,IF(Datos!$B$3/$D$19*D10&lt;Datos!$C$3,Datos!$C$3,Datos!$B$3/$D$19*D10))</f>
        <v>188317</v>
      </c>
      <c r="H10" s="37">
        <f>+IF($D10&gt;$D$19,Datos!$B$6,IF(Datos!$B$6/$D$19*$D10&lt;Datos!$C$6,Datos!$C$6,Datos!$B$6/$D$19*$D10))</f>
        <v>121892</v>
      </c>
      <c r="I10" s="37">
        <f>+IF($D10&gt;$D$19,Datos!$B$9,IF(Datos!$B$9/$D$19*$D10&lt;Datos!$C$9,Datos!$C$9,Datos!$B$9/$D$19*$D10))</f>
        <v>151040</v>
      </c>
      <c r="L10" s="76">
        <f>+IF(D10&lt;$D$19,Datos!$B$29/$D$19*D10,Datos!$B$29)</f>
        <v>30000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73" t="s">
        <v>185</v>
      </c>
      <c r="F11" s="37">
        <f>+IF(D11&gt;$D$19,Datos!$B$15,IF(Datos!$B$15/$D$19*D11&lt;Datos!$C$15,Datos!$C$15,Datos!$B$15/$D$19*D11))</f>
        <v>529856</v>
      </c>
      <c r="G11" s="37">
        <f>+IF(D11&gt;$D$19,Datos!$B$3,IF(Datos!$B$3/$D$19*D11&lt;Datos!$C$3,Datos!$C$3,Datos!$B$3/$D$19*D11))</f>
        <v>188317</v>
      </c>
      <c r="H11" s="37">
        <f>+IF($D11&gt;$D$19,Datos!$B$6,IF(Datos!$B$6/$D$19*$D11&lt;Datos!$C$6,Datos!$C$6,Datos!$B$6/$D$19*$D11))</f>
        <v>121892</v>
      </c>
      <c r="I11" s="37">
        <f>+IF($D11&gt;$D$19,Datos!$B$9,IF(Datos!$B$9/$D$19*$D11&lt;Datos!$C$9,Datos!$C$9,Datos!$B$9/$D$19*$D11))</f>
        <v>151040</v>
      </c>
      <c r="J11" s="30">
        <v>1</v>
      </c>
      <c r="L11" s="76">
        <f>+IF(D11&lt;$D$19,Datos!$B$29/$D$19*D11,Datos!$B$29)</f>
        <v>30000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73" t="s">
        <v>187</v>
      </c>
      <c r="F12" s="37">
        <f>Datos!$B$15/20</f>
        <v>26492.799999999999</v>
      </c>
      <c r="G12" s="37">
        <f>Datos!$B$5</f>
        <v>9911.42</v>
      </c>
      <c r="H12" s="37">
        <f>Datos!$B$8</f>
        <v>6415.37</v>
      </c>
      <c r="I12" s="37">
        <f>Datos!$B$11</f>
        <v>7949.47</v>
      </c>
      <c r="L12" s="76">
        <f>Datos!$B$31</f>
        <v>1578.95</v>
      </c>
      <c r="M12" s="27"/>
    </row>
    <row r="13" spans="1:13" x14ac:dyDescent="0.2">
      <c r="A13" s="9" t="s">
        <v>60</v>
      </c>
      <c r="C13" s="8"/>
      <c r="D13" s="37"/>
      <c r="E13" s="73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73" t="s">
        <v>185</v>
      </c>
      <c r="F14" s="37">
        <f>+IF(D14&gt;$D$19,Datos!$B$15,IF(Datos!$B$15/$D$19*D14&lt;Datos!$C$15,Datos!$C$15,Datos!$B$15/$D$19*D14))</f>
        <v>529856</v>
      </c>
      <c r="G14" s="37">
        <f>+IF(D14&gt;$D$19,Datos!$B$3,IF(Datos!$B$3/$D$19*D14&lt;Datos!$C$3,Datos!$C$3,Datos!$B$3/$D$19*D14))</f>
        <v>188317</v>
      </c>
      <c r="H14" s="37">
        <f>+IF($D14&gt;$D$19,Datos!$B$6,IF(Datos!$B$6/$D$19*$D14&lt;Datos!$C$6,Datos!$C$6,Datos!$B$6/$D$19*$D14))</f>
        <v>121892</v>
      </c>
      <c r="I14" s="37">
        <f>+IF($D14&gt;$D$19,Datos!$B$9,IF(Datos!$B$9/$D$19*$D14&lt;Datos!$C$9,Datos!$C$9,Datos!$B$9/$D$19*$D14))</f>
        <v>151040</v>
      </c>
      <c r="J14" s="30">
        <v>1</v>
      </c>
      <c r="K14" s="30">
        <v>1</v>
      </c>
      <c r="L14" s="76">
        <f>+IF(D14&lt;$D$19,Datos!$B$29/$D$19*D14,Datos!$B$29)</f>
        <v>30000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73" t="s">
        <v>185</v>
      </c>
      <c r="F15" s="37">
        <f>+IF(D15&gt;$D$19,Datos!$B$15,IF(Datos!$B$15/$D$19*D15&lt;Datos!$C$15,Datos!$C$15,Datos!$B$15/$D$19*D15))</f>
        <v>529856</v>
      </c>
      <c r="G15" s="37">
        <f>+IF(D15&gt;$D$19,Datos!$B$3,IF(Datos!$B$3/$D$19*D15&lt;Datos!$C$3,Datos!$C$3,Datos!$B$3/$D$19*D15))</f>
        <v>188317</v>
      </c>
      <c r="H15" s="37">
        <f>+IF($D15&gt;$D$19,Datos!$B$6,IF(Datos!$B$6/$D$19*$D15&lt;Datos!$C$6,Datos!$C$6,Datos!$B$6/$D$19*$D15))</f>
        <v>121892</v>
      </c>
      <c r="I15" s="37">
        <f>+IF($D15&gt;$D$19,Datos!$B$9,IF(Datos!$B$9/$D$19*$D15&lt;Datos!$C$9,Datos!$C$9,Datos!$B$9/$D$19*$D15))</f>
        <v>151040</v>
      </c>
      <c r="J15" s="30">
        <v>1</v>
      </c>
      <c r="L15" s="76">
        <f>+IF(D15&lt;$D$19,Datos!$B$29/$D$19*D15,Datos!$B$29)</f>
        <v>30000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73" t="s">
        <v>185</v>
      </c>
      <c r="F16" s="37">
        <f>+IF(D16&gt;$D$19,Datos!$B$15,IF(Datos!$B$15/$D$19*D16&lt;Datos!$C$15,Datos!$C$15,Datos!$B$15/$D$19*D16))</f>
        <v>529856</v>
      </c>
      <c r="G16" s="37">
        <f>+IF(D16&gt;$D$19,Datos!$B$3,IF(Datos!$B$3/$D$19*D16&lt;Datos!$C$3,Datos!$C$3,Datos!$B$3/$D$19*D16))</f>
        <v>188317</v>
      </c>
      <c r="H16" s="37">
        <f>+IF($D16&gt;$D$19,Datos!$B$6,IF(Datos!$B$6/$D$19*$D16&lt;Datos!$C$6,Datos!$C$6,Datos!$B$6/$D$19*$D16))</f>
        <v>121892</v>
      </c>
      <c r="I16" s="37">
        <f>+IF($D16&gt;$D$19,Datos!$B$9,IF(Datos!$B$9/$D$19*$D16&lt;Datos!$C$9,Datos!$C$9,Datos!$B$9/$D$19*$D16))</f>
        <v>151040</v>
      </c>
      <c r="J16" s="30">
        <v>1</v>
      </c>
      <c r="L16" s="76">
        <f>+IF(D16&lt;$D$19,Datos!$B$29/$D$19*D16,Datos!$B$29)</f>
        <v>30000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73" t="s">
        <v>185</v>
      </c>
      <c r="F17" s="37">
        <f>+IF(D17&gt;$D$19,Datos!$B$15,IF(Datos!$B$15/$D$19*D17&lt;Datos!$C$15,Datos!$C$15,Datos!$B$15/$D$19*D17))</f>
        <v>529856</v>
      </c>
      <c r="G17" s="37">
        <f>+IF(D17&gt;$D$19,Datos!$B$3,IF(Datos!$B$3/$D$19*D17&lt;Datos!$C$3,Datos!$C$3,Datos!$B$3/$D$19*D17))</f>
        <v>188317</v>
      </c>
      <c r="H17" s="37">
        <f>+IF($D17&gt;$D$19,Datos!$B$6,IF(Datos!$B$6/$D$19*$D17&lt;Datos!$C$6,Datos!$C$6,Datos!$B$6/$D$19*$D17))</f>
        <v>121892</v>
      </c>
      <c r="I17" s="37">
        <f>+IF($D17&gt;$D$19,Datos!$B$9,IF(Datos!$B$9/$D$19*$D17&lt;Datos!$C$9,Datos!$C$9,Datos!$B$9/$D$19*$D17))</f>
        <v>151040</v>
      </c>
      <c r="L17" s="76">
        <f>+IF(D17&lt;$D$19,Datos!$B$29/$D$19*D17,Datos!$B$29)</f>
        <v>30000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73" t="s">
        <v>185</v>
      </c>
      <c r="F18" s="37">
        <f>+IF(D18&gt;$D$19,Datos!$B$15,IF(Datos!$B$15/$D$19*D18&lt;Datos!$C$15,Datos!$C$15,Datos!$B$15/$D$19*D18))</f>
        <v>529856</v>
      </c>
      <c r="G18" s="37">
        <f>+IF(D18&gt;$D$19,Datos!$B$3,IF(Datos!$B$3/$D$19*D18&lt;Datos!$C$3,Datos!$C$3,Datos!$B$3/$D$19*D18))</f>
        <v>188317</v>
      </c>
      <c r="H18" s="37">
        <f>+IF($D18&gt;$D$19,Datos!$B$6,IF(Datos!$B$6/$D$19*$D18&lt;Datos!$C$6,Datos!$C$6,Datos!$B$6/$D$19*$D18))</f>
        <v>121892</v>
      </c>
      <c r="I18" s="37">
        <f>+IF($D18&gt;$D$19,Datos!$B$9,IF(Datos!$B$9/$D$19*$D18&lt;Datos!$C$9,Datos!$C$9,Datos!$B$9/$D$19*$D18))</f>
        <v>151040</v>
      </c>
      <c r="L18" s="76">
        <f>+IF(D18&lt;$D$19,Datos!$B$29/$D$19*D18,Datos!$B$29)</f>
        <v>30000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73" t="s">
        <v>185</v>
      </c>
      <c r="F19" s="37">
        <f>+IF(D19&gt;$D$19,Datos!$B$15,IF(Datos!$B$15/$D$19*D19&lt;Datos!$C$15,Datos!$C$15,Datos!$B$15/$D$19*D19))</f>
        <v>529856</v>
      </c>
      <c r="G19" s="37">
        <f>+IF(D19&gt;$D$19,Datos!$B$3,IF(Datos!$B$3/$D$19*D19&lt;Datos!$C$3,Datos!$C$3,Datos!$B$3/$D$19*D19))</f>
        <v>188317</v>
      </c>
      <c r="H19" s="37">
        <f>+IF($D19&gt;$D$19,Datos!$B$6,IF(Datos!$B$6/$D$19*$D19&lt;Datos!$C$6,Datos!$C$6,Datos!$B$6/$D$19*$D19))</f>
        <v>121892</v>
      </c>
      <c r="I19" s="37">
        <f>+IF($D19&gt;$D$19,Datos!$B$9,IF(Datos!$B$9/$D$19*$D19&lt;Datos!$C$9,Datos!$C$9,Datos!$B$9/$D$19*$D19))</f>
        <v>151040</v>
      </c>
      <c r="L19" s="76">
        <f>+IF(D19&lt;$D$19,Datos!$B$29/$D$19*D19,Datos!$B$29)</f>
        <v>30000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73" t="s">
        <v>185</v>
      </c>
      <c r="F20" s="37">
        <f>+IF(D20&gt;$D$19,Datos!$B$15,IF(Datos!$B$15/$D$19*D20&lt;Datos!$C$15,Datos!$C$15,Datos!$B$15/$D$19*D20))</f>
        <v>529856</v>
      </c>
      <c r="G20" s="37">
        <f>+IF(D20&gt;$D$19,Datos!$B$3,IF(Datos!$B$3/$D$19*D20&lt;Datos!$C$3,Datos!$C$3,Datos!$B$3/$D$19*D20))</f>
        <v>188317</v>
      </c>
      <c r="H20" s="37">
        <f>+IF($D20&gt;$D$19,Datos!$B$6,IF(Datos!$B$6/$D$19*$D20&lt;Datos!$C$6,Datos!$C$6,Datos!$B$6/$D$19*$D20))</f>
        <v>121892</v>
      </c>
      <c r="I20" s="37">
        <f>+IF($D20&gt;$D$19,Datos!$B$9,IF(Datos!$B$9/$D$19*$D20&lt;Datos!$C$9,Datos!$C$9,Datos!$B$9/$D$19*$D20))</f>
        <v>151040</v>
      </c>
      <c r="L20" s="76">
        <f>+IF(D20&lt;$D$19,Datos!$B$29/$D$19*D20,Datos!$B$29)</f>
        <v>30000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73" t="s">
        <v>185</v>
      </c>
      <c r="F21" s="37">
        <f>+IF(D21&gt;$D$19,Datos!$B$15,IF(Datos!$B$15/$D$19*D21&lt;Datos!$C$15,Datos!$C$15,Datos!$B$15/$D$19*D21))</f>
        <v>529856</v>
      </c>
      <c r="G21" s="37">
        <f>+IF(D21&gt;$D$19,Datos!$B$3,IF(Datos!$B$3/$D$19*D21&lt;Datos!$C$3,Datos!$C$3,Datos!$B$3/$D$19*D21))</f>
        <v>188317</v>
      </c>
      <c r="H21" s="37">
        <f>+IF($D21&gt;$D$19,Datos!$B$6,IF(Datos!$B$6/$D$19*$D21&lt;Datos!$C$6,Datos!$C$6,Datos!$B$6/$D$19*$D21))</f>
        <v>121892</v>
      </c>
      <c r="I21" s="37">
        <f>+IF($D21&gt;$D$19,Datos!$B$9,IF(Datos!$B$9/$D$19*$D21&lt;Datos!$C$9,Datos!$C$9,Datos!$B$9/$D$19*$D21))</f>
        <v>151040</v>
      </c>
      <c r="J21" s="30">
        <v>1</v>
      </c>
      <c r="L21" s="76">
        <f>+IF(D21&lt;$D$19,Datos!$B$29/$D$19*D21,Datos!$B$29)</f>
        <v>30000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73" t="s">
        <v>185</v>
      </c>
      <c r="F22" s="37">
        <f>+IF(D22&gt;$D$19,Datos!$B$15,IF(Datos!$B$15/$D$19*D22&lt;Datos!$C$15,Datos!$C$15,Datos!$B$15/$D$19*D22))</f>
        <v>529856</v>
      </c>
      <c r="G22" s="37">
        <f>+IF(D22&gt;$D$19,Datos!$B$3,IF(Datos!$B$3/$D$19*D22&lt;Datos!$C$3,Datos!$C$3,Datos!$B$3/$D$19*D22))</f>
        <v>188317</v>
      </c>
      <c r="H22" s="37">
        <f>+IF($D22&gt;$D$19,Datos!$B$6,IF(Datos!$B$6/$D$19*$D22&lt;Datos!$C$6,Datos!$C$6,Datos!$B$6/$D$19*$D22))</f>
        <v>121892</v>
      </c>
      <c r="I22" s="37">
        <f>+IF($D22&gt;$D$19,Datos!$B$9,IF(Datos!$B$9/$D$19*$D22&lt;Datos!$C$9,Datos!$C$9,Datos!$B$9/$D$19*$D22))</f>
        <v>151040</v>
      </c>
      <c r="J22" s="30">
        <v>1</v>
      </c>
      <c r="L22" s="76">
        <f>+IF(D22&lt;$D$19,Datos!$B$29/$D$19*D22,Datos!$B$29)</f>
        <v>30000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73" t="s">
        <v>187</v>
      </c>
      <c r="F23" s="37">
        <f>Datos!$B$15/20</f>
        <v>26492.799999999999</v>
      </c>
      <c r="G23" s="37">
        <f>Datos!$B$5</f>
        <v>9911.42</v>
      </c>
      <c r="H23" s="37">
        <f>Datos!$B$8</f>
        <v>6415.37</v>
      </c>
      <c r="I23" s="37">
        <f>Datos!$B$11</f>
        <v>7949.47</v>
      </c>
      <c r="L23" s="76">
        <f>Datos!$B$31</f>
        <v>1578.95</v>
      </c>
      <c r="M23" s="27"/>
    </row>
    <row r="24" spans="1:13" x14ac:dyDescent="0.2">
      <c r="A24" s="9" t="s">
        <v>61</v>
      </c>
      <c r="C24" s="8"/>
      <c r="D24" s="37"/>
      <c r="E24" s="73"/>
      <c r="F24" s="37"/>
      <c r="G24" s="37"/>
      <c r="H24" s="37"/>
      <c r="I24" s="37"/>
      <c r="L24" s="76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73" t="s">
        <v>186</v>
      </c>
      <c r="F25" s="37">
        <f>+IF(D25&gt;$D$34,Datos!$B$16,IF(Datos!$B$16/$D$34*D25&lt;Datos!$C$16,Datos!$C$16,Datos!$B$16/$D$34*D25))</f>
        <v>1059712</v>
      </c>
      <c r="G25" s="37">
        <f>+IF(D25&gt;$D$34,Datos!$B$4,IF(Datos!$B$4/$D$34*D25&lt;Datos!$C$4,Datos!$C$4,Datos!$B$4/$D$34*D25))</f>
        <v>376634</v>
      </c>
      <c r="H25" s="37">
        <f>+IF($D25&gt;$D$34,Datos!$B$7,IF(Datos!$B$7/$D$34*$D25&lt;Datos!$C$7,Datos!$C$7,Datos!$B$7/$D$34*$D25))</f>
        <v>243784</v>
      </c>
      <c r="I25" s="37">
        <f>+IF($D25&gt;$D$34,Datos!$B$10,IF(Datos!$B$10/$D$34*$D25&lt;Datos!$C$10,Datos!$C$10,Datos!$B$10/$D$34*$D25))</f>
        <v>302080</v>
      </c>
      <c r="J25" s="30">
        <v>1</v>
      </c>
      <c r="K25" s="30">
        <v>1</v>
      </c>
      <c r="L25" s="76">
        <f>+IF(D25&lt;$D$34,Datos!$B$30/$D$34*D25,Datos!$B$30)</f>
        <v>60000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73" t="s">
        <v>186</v>
      </c>
      <c r="F26" s="37">
        <f>+IF(D26&gt;$D$34,Datos!$B$16,IF(Datos!$B$16/$D$34*D26&lt;Datos!$C$16,Datos!$C$16,Datos!$B$16/$D$34*D26))</f>
        <v>1059712</v>
      </c>
      <c r="G26" s="37">
        <f>+IF(D26&gt;$D$34,Datos!$B$4,IF(Datos!$B$4/$D$34*D26&lt;Datos!$C$4,Datos!$C$4,Datos!$B$4/$D$34*D26))</f>
        <v>376634</v>
      </c>
      <c r="H26" s="37">
        <f>+IF($D26&gt;$D$34,Datos!$B$7,IF(Datos!$B$7/$D$34*$D26&lt;Datos!$C$7,Datos!$C$7,Datos!$B$7/$D$34*$D26))</f>
        <v>243784</v>
      </c>
      <c r="I26" s="37">
        <f>+IF($D26&gt;$D$34,Datos!$B$10,IF(Datos!$B$10/$D$34*$D26&lt;Datos!$C$10,Datos!$C$10,Datos!$B$10/$D$34*$D26))</f>
        <v>302080</v>
      </c>
      <c r="J26" s="30">
        <v>1</v>
      </c>
      <c r="L26" s="76">
        <f>+IF(D26&lt;$D$34,Datos!$B$30/$D$34*D26,Datos!$B$30)</f>
        <v>60000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73" t="s">
        <v>186</v>
      </c>
      <c r="F27" s="37">
        <f>+IF(D27&gt;$D$34,Datos!$B$16,IF(Datos!$B$16/$D$34*D27&lt;Datos!$C$16,Datos!$C$16,Datos!$B$16/$D$34*D27))</f>
        <v>1059712</v>
      </c>
      <c r="G27" s="37">
        <f>+IF(D27&gt;$D$34,Datos!$B$4,IF(Datos!$B$4/$D$34*D27&lt;Datos!$C$4,Datos!$C$4,Datos!$B$4/$D$34*D27))</f>
        <v>376634</v>
      </c>
      <c r="H27" s="37">
        <f>+IF($D27&gt;$D$34,Datos!$B$7,IF(Datos!$B$7/$D$34*$D27&lt;Datos!$C$7,Datos!$C$7,Datos!$B$7/$D$34*$D27))</f>
        <v>243784</v>
      </c>
      <c r="I27" s="37">
        <f>+IF($D27&gt;$D$34,Datos!$B$10,IF(Datos!$B$10/$D$34*$D27&lt;Datos!$C$10,Datos!$C$10,Datos!$B$10/$D$34*$D27))</f>
        <v>302080</v>
      </c>
      <c r="J27" s="30">
        <v>1</v>
      </c>
      <c r="L27" s="76">
        <f>+IF(D27&lt;$D$34,Datos!$B$30/$D$34*D27,Datos!$B$30)</f>
        <v>60000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73" t="s">
        <v>186</v>
      </c>
      <c r="F28" s="37">
        <f>+IF(D28&gt;$D$34,Datos!$B$16,IF(Datos!$B$16/$D$34*D28&lt;Datos!$C$16,Datos!$C$16,Datos!$B$16/$D$34*D28))</f>
        <v>1059712</v>
      </c>
      <c r="G28" s="37">
        <f>+IF(D28&gt;$D$34,Datos!$B$4,IF(Datos!$B$4/$D$34*D28&lt;Datos!$C$4,Datos!$C$4,Datos!$B$4/$D$34*D28))</f>
        <v>376634</v>
      </c>
      <c r="H28" s="37">
        <f>+IF($D28&gt;$D$34,Datos!$B$7,IF(Datos!$B$7/$D$34*$D28&lt;Datos!$C$7,Datos!$C$7,Datos!$B$7/$D$34*$D28))</f>
        <v>243784</v>
      </c>
      <c r="I28" s="37">
        <f>+IF($D28&gt;$D$34,Datos!$B$10,IF(Datos!$B$10/$D$34*$D28&lt;Datos!$C$10,Datos!$C$10,Datos!$B$10/$D$34*$D28))</f>
        <v>302080</v>
      </c>
      <c r="J28" s="30">
        <v>1</v>
      </c>
      <c r="L28" s="76">
        <f>+IF(D28&lt;$D$34,Datos!$B$30/$D$34*D28,Datos!$B$30)</f>
        <v>60000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73" t="s">
        <v>187</v>
      </c>
      <c r="F29" s="37">
        <f>Datos!$B$15/20</f>
        <v>26492.799999999999</v>
      </c>
      <c r="G29" s="37">
        <f>Datos!$B$5</f>
        <v>9911.42</v>
      </c>
      <c r="H29" s="37">
        <f>Datos!$B$8</f>
        <v>6415.37</v>
      </c>
      <c r="I29" s="37">
        <f>Datos!$B$11</f>
        <v>7949.47</v>
      </c>
      <c r="L29" s="76">
        <f>Datos!$B$31</f>
        <v>1578.95</v>
      </c>
      <c r="M29" s="27"/>
    </row>
    <row r="30" spans="1:13" x14ac:dyDescent="0.2">
      <c r="A30" s="9" t="s">
        <v>62</v>
      </c>
      <c r="C30" s="8"/>
      <c r="D30" s="37"/>
      <c r="E30" s="73"/>
      <c r="F30" s="37"/>
      <c r="G30" s="37"/>
      <c r="H30" s="37"/>
      <c r="I30" s="37"/>
      <c r="L30" s="76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73" t="s">
        <v>186</v>
      </c>
      <c r="F31" s="37">
        <f>+IF(D31&gt;$D$34,Datos!$B$16,IF(Datos!$B$16/$D$34*D31&lt;Datos!$C$16,Datos!$C$16,Datos!$B$16/$D$34*D31))</f>
        <v>1059712</v>
      </c>
      <c r="G31" s="37">
        <f>+IF(D31&gt;$D$34,Datos!$B$4,IF(Datos!$B$4/$D$34*D31&lt;Datos!$C$4,Datos!$C$4,Datos!$B$4/$D$34*D31))</f>
        <v>376634</v>
      </c>
      <c r="H31" s="37">
        <f>+IF($D31&gt;$D$34,Datos!$B$7,IF(Datos!$B$7/$D$34*$D31&lt;Datos!$C$7,Datos!$C$7,Datos!$B$7/$D$34*$D31))</f>
        <v>243784</v>
      </c>
      <c r="I31" s="37">
        <f>+IF($D31&gt;$D$34,Datos!$B$10,IF(Datos!$B$10/$D$34*$D31&lt;Datos!$C$10,Datos!$C$10,Datos!$B$10/$D$34*$D31))</f>
        <v>302080</v>
      </c>
      <c r="J31" s="30">
        <v>1</v>
      </c>
      <c r="K31" s="30">
        <v>1</v>
      </c>
      <c r="L31" s="76">
        <f>+IF(D31&lt;$D$34,Datos!$B$30/$D$34*D31,Datos!$B$30)</f>
        <v>60000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73" t="s">
        <v>186</v>
      </c>
      <c r="F32" s="37">
        <f>+IF(D32&gt;$D$34,Datos!$B$16,IF(Datos!$B$16/$D$34*D32&lt;Datos!$C$16,Datos!$C$16,Datos!$B$16/$D$34*D32))</f>
        <v>1059712</v>
      </c>
      <c r="G32" s="37">
        <f>+IF(D32&gt;$D$34,Datos!$B$4,IF(Datos!$B$4/$D$34*D32&lt;Datos!$C$4,Datos!$C$4,Datos!$B$4/$D$34*D32))</f>
        <v>376634</v>
      </c>
      <c r="H32" s="37">
        <f>+IF($D32&gt;$D$34,Datos!$B$7,IF(Datos!$B$7/$D$34*$D32&lt;Datos!$C$7,Datos!$C$7,Datos!$B$7/$D$34*$D32))</f>
        <v>243784</v>
      </c>
      <c r="I32" s="37">
        <f>+IF($D32&gt;$D$34,Datos!$B$10,IF(Datos!$B$10/$D$34*$D32&lt;Datos!$C$10,Datos!$C$10,Datos!$B$10/$D$34*$D32))</f>
        <v>302080</v>
      </c>
      <c r="J32" s="30">
        <v>1</v>
      </c>
      <c r="L32" s="76">
        <f>+IF(D32&lt;$D$34,Datos!$B$30/$D$34*D32,Datos!$B$30)</f>
        <v>60000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73" t="s">
        <v>186</v>
      </c>
      <c r="F33" s="37">
        <f>+IF(D33&gt;$D$34,Datos!$B$16,IF(Datos!$B$16/$D$34*D33&lt;Datos!$C$16,Datos!$C$16,Datos!$B$16/$D$34*D33))</f>
        <v>1059712</v>
      </c>
      <c r="G33" s="37">
        <f>+IF(D33&gt;$D$34,Datos!$B$4,IF(Datos!$B$4/$D$34*D33&lt;Datos!$C$4,Datos!$C$4,Datos!$B$4/$D$34*D33))</f>
        <v>376634</v>
      </c>
      <c r="H33" s="37">
        <f>+IF($D33&gt;$D$34,Datos!$B$7,IF(Datos!$B$7/$D$34*$D33&lt;Datos!$C$7,Datos!$C$7,Datos!$B$7/$D$34*$D33))</f>
        <v>243784</v>
      </c>
      <c r="I33" s="37">
        <f>+IF($D33&gt;$D$34,Datos!$B$10,IF(Datos!$B$10/$D$34*$D33&lt;Datos!$C$10,Datos!$C$10,Datos!$B$10/$D$34*$D33))</f>
        <v>302080</v>
      </c>
      <c r="J33" s="30">
        <v>1</v>
      </c>
      <c r="L33" s="76">
        <f>+IF(D33&lt;$D$34,Datos!$B$30/$D$34*D33,Datos!$B$30)</f>
        <v>60000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73" t="s">
        <v>186</v>
      </c>
      <c r="F34" s="37">
        <f>+IF(D34&gt;$D$34,Datos!$B$16,IF(Datos!$B$16/$D$34*D34&lt;Datos!$C$16,Datos!$C$16,Datos!$B$16/$D$34*D34))</f>
        <v>1059712</v>
      </c>
      <c r="G34" s="37">
        <f>+IF(D34&gt;$D$34,Datos!$B$4,IF(Datos!$B$4/$D$34*D34&lt;Datos!$C$4,Datos!$C$4,Datos!$B$4/$D$34*D34))</f>
        <v>376634</v>
      </c>
      <c r="H34" s="37">
        <f>+IF($D34&gt;$D$34,Datos!$B$7,IF(Datos!$B$7/$D$34*$D34&lt;Datos!$C$7,Datos!$C$7,Datos!$B$7/$D$34*$D34))</f>
        <v>243784</v>
      </c>
      <c r="I34" s="37">
        <f>+IF($D34&gt;$D$34,Datos!$B$10,IF(Datos!$B$10/$D$34*$D34&lt;Datos!$C$10,Datos!$C$10,Datos!$B$10/$D$34*$D34))</f>
        <v>302080</v>
      </c>
      <c r="L34" s="76">
        <f>+IF(D34&lt;$D$34,Datos!$B$30/$D$34*D34,Datos!$B$30)</f>
        <v>60000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73" t="s">
        <v>186</v>
      </c>
      <c r="F35" s="37">
        <f>+IF(D35&gt;$D$34,Datos!$B$16,IF(Datos!$B$16/$D$34*D35&lt;Datos!$C$16,Datos!$C$16,Datos!$B$16/$D$34*D35))</f>
        <v>1059712</v>
      </c>
      <c r="G35" s="37">
        <f>+IF(D35&gt;$D$34,Datos!$B$4,IF(Datos!$B$4/$D$34*D35&lt;Datos!$C$4,Datos!$C$4,Datos!$B$4/$D$34*D35))</f>
        <v>376634</v>
      </c>
      <c r="H35" s="37">
        <f>+IF($D35&gt;$D$34,Datos!$B$7,IF(Datos!$B$7/$D$34*$D35&lt;Datos!$C$7,Datos!$C$7,Datos!$B$7/$D$34*$D35))</f>
        <v>243784</v>
      </c>
      <c r="I35" s="37">
        <f>+IF($D35&gt;$D$34,Datos!$B$10,IF(Datos!$B$10/$D$34*$D35&lt;Datos!$C$10,Datos!$C$10,Datos!$B$10/$D$34*$D35))</f>
        <v>302080</v>
      </c>
      <c r="L35" s="76">
        <f>+IF(D35&lt;$D$34,Datos!$B$30/$D$34*D35,Datos!$B$30)</f>
        <v>60000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73" t="s">
        <v>186</v>
      </c>
      <c r="F36" s="37">
        <f>+IF(D36&gt;$D$34,Datos!$B$16,IF(Datos!$B$16/$D$34*D36&lt;Datos!$C$16,Datos!$C$16,Datos!$B$16/$D$34*D36))</f>
        <v>1059712</v>
      </c>
      <c r="G36" s="37">
        <f>+IF(D36&gt;$D$34,Datos!$B$4,IF(Datos!$B$4/$D$34*D36&lt;Datos!$C$4,Datos!$C$4,Datos!$B$4/$D$34*D36))</f>
        <v>376634</v>
      </c>
      <c r="H36" s="37">
        <f>+IF($D36&gt;$D$34,Datos!$B$7,IF(Datos!$B$7/$D$34*$D36&lt;Datos!$C$7,Datos!$C$7,Datos!$B$7/$D$34*$D36))</f>
        <v>243784</v>
      </c>
      <c r="I36" s="37">
        <f>+IF($D36&gt;$D$34,Datos!$B$10,IF(Datos!$B$10/$D$34*$D36&lt;Datos!$C$10,Datos!$C$10,Datos!$B$10/$D$34*$D36))</f>
        <v>302080</v>
      </c>
      <c r="J36" s="30">
        <v>1</v>
      </c>
      <c r="L36" s="76">
        <f>+IF(D36&lt;$D$34,Datos!$B$30/$D$34*D36,Datos!$B$30)</f>
        <v>60000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73" t="s">
        <v>186</v>
      </c>
      <c r="F37" s="37">
        <f>+IF(D37&gt;$D$34,Datos!$B$16,IF(Datos!$B$16/$D$34*D37&lt;Datos!$C$16,Datos!$C$16,Datos!$B$16/$D$34*D37))</f>
        <v>1059712</v>
      </c>
      <c r="G37" s="37">
        <f>+IF(D37&gt;$D$34,Datos!$B$4,IF(Datos!$B$4/$D$34*D37&lt;Datos!$C$4,Datos!$C$4,Datos!$B$4/$D$34*D37))</f>
        <v>376634</v>
      </c>
      <c r="H37" s="37">
        <f>+IF($D37&gt;$D$34,Datos!$B$7,IF(Datos!$B$7/$D$34*$D37&lt;Datos!$C$7,Datos!$C$7,Datos!$B$7/$D$34*$D37))</f>
        <v>243784</v>
      </c>
      <c r="I37" s="37">
        <f>+IF($D37&gt;$D$34,Datos!$B$10,IF(Datos!$B$10/$D$34*$D37&lt;Datos!$C$10,Datos!$C$10,Datos!$B$10/$D$34*$D37))</f>
        <v>302080</v>
      </c>
      <c r="J37" s="30">
        <v>1</v>
      </c>
      <c r="L37" s="76">
        <f>+IF(D37&lt;$D$34,Datos!$B$30/$D$34*D37,Datos!$B$30)</f>
        <v>60000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73" t="s">
        <v>187</v>
      </c>
      <c r="F38" s="37">
        <f>Datos!$B$15/20</f>
        <v>26492.799999999999</v>
      </c>
      <c r="G38" s="37">
        <f>Datos!$B$5</f>
        <v>9911.42</v>
      </c>
      <c r="H38" s="37">
        <f>Datos!$B$8</f>
        <v>6415.37</v>
      </c>
      <c r="I38" s="37">
        <f>Datos!$B$11</f>
        <v>7949.47</v>
      </c>
      <c r="L38" s="76">
        <f>Datos!$B$31</f>
        <v>1578.95</v>
      </c>
      <c r="M38" s="27"/>
    </row>
    <row r="39" spans="1:13" x14ac:dyDescent="0.2">
      <c r="A39" s="9" t="s">
        <v>69</v>
      </c>
      <c r="C39" s="8"/>
      <c r="D39" s="37"/>
      <c r="E39" s="73"/>
      <c r="F39" s="37"/>
      <c r="G39" s="37"/>
      <c r="H39" s="37"/>
      <c r="I39" s="37"/>
      <c r="L39" s="76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73"/>
      <c r="F40" s="37">
        <f>+IF(D40&gt;$D$19,Datos!$B$15,IF(Datos!$B$15/$D$19*D40&lt;Datos!$C$15,Datos!$C$15,Datos!$B$15/$D$19*D40))</f>
        <v>529856</v>
      </c>
      <c r="G40" s="37">
        <f>+IF(D40&gt;$D$19,Datos!$B$3,IF(Datos!$B$3/$D$19*D40&lt;Datos!$C$3,Datos!$C$3,Datos!$B$3/$D$19*D40))</f>
        <v>188317</v>
      </c>
      <c r="H40" s="37">
        <f>+IF($D40&gt;$D$19,Datos!$B$6,IF(Datos!$B$6/$D$19*$D40&lt;Datos!$C$6,Datos!$C$6,Datos!$B$6/$D$19*$D40))</f>
        <v>121892</v>
      </c>
      <c r="I40" s="37">
        <f>+IF($D40&gt;$D$19,Datos!$B$9,IF(Datos!$B$9/$D$19*$D40&lt;Datos!$C$9,Datos!$C$9,Datos!$B$9/$D$19*$D40))</f>
        <v>151040</v>
      </c>
      <c r="J40" s="30">
        <v>1</v>
      </c>
      <c r="K40" s="30">
        <v>1</v>
      </c>
      <c r="L40" s="76">
        <f>+IF(D40&lt;$D$19,Datos!$B$29/$D$19*D40,Datos!$B$29)</f>
        <v>30000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73"/>
      <c r="F41" s="37">
        <f>+IF(D41&gt;$D$19,Datos!$B$15,IF(Datos!$B$15/$D$19*D41&lt;Datos!$C$15,Datos!$C$15,Datos!$B$15/$D$19*D41))</f>
        <v>448160.14</v>
      </c>
      <c r="G41" s="37">
        <f>+IF(D41&gt;$D$19,Datos!$B$3,IF(Datos!$B$3/$D$19*D41&lt;Datos!$C$3,Datos!$C$3,Datos!$B$3/$D$19*D41))</f>
        <v>179369</v>
      </c>
      <c r="H41" s="37">
        <f>+IF($D41&gt;$D$19,Datos!$B$6,IF(Datos!$B$6/$D$19*$D41&lt;Datos!$C$6,Datos!$C$6,Datos!$B$6/$D$19*$D41))</f>
        <v>116963</v>
      </c>
      <c r="I41" s="37">
        <f>+IF($D41&gt;$D$19,Datos!$B$9,IF(Datos!$B$9/$D$19*$D41&lt;Datos!$C$9,Datos!$C$9,Datos!$B$9/$D$19*$D41))</f>
        <v>144942</v>
      </c>
      <c r="J41" s="30">
        <v>1</v>
      </c>
      <c r="L41" s="76">
        <f>+IF(D41&lt;$D$19,Datos!$B$29/$D$19*D41,Datos!$B$29)</f>
        <v>25374.45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73"/>
      <c r="F42" s="37">
        <f>+IF(D42&gt;$D$19,Datos!$B$15,IF(Datos!$B$15/$D$19*D42&lt;Datos!$C$15,Datos!$C$15,Datos!$B$15/$D$19*D42))</f>
        <v>387355.08</v>
      </c>
      <c r="G42" s="37">
        <f>+IF(D42&gt;$D$19,Datos!$B$3,IF(Datos!$B$3/$D$19*D42&lt;Datos!$C$3,Datos!$C$3,Datos!$B$3/$D$19*D42))</f>
        <v>179369</v>
      </c>
      <c r="H42" s="37">
        <f>+IF($D42&gt;$D$19,Datos!$B$6,IF(Datos!$B$6/$D$19*$D42&lt;Datos!$C$6,Datos!$C$6,Datos!$B$6/$D$19*$D42))</f>
        <v>116963</v>
      </c>
      <c r="I42" s="37">
        <f>+IF($D42&gt;$D$19,Datos!$B$9,IF(Datos!$B$9/$D$19*$D42&lt;Datos!$C$9,Datos!$C$9,Datos!$B$9/$D$19*$D42))</f>
        <v>144942</v>
      </c>
      <c r="L42" s="76">
        <f>+IF(D42&lt;$D$19,Datos!$B$29/$D$19*D42,Datos!$B$29)</f>
        <v>21931.72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73"/>
      <c r="F43" s="37">
        <f>+IF(D43&gt;$D$19,Datos!$B$15,IF(Datos!$B$15/$D$19*D43&lt;Datos!$C$15,Datos!$C$15,Datos!$B$15/$D$19*D43))</f>
        <v>338007</v>
      </c>
      <c r="G43" s="37">
        <f>+IF(D43&gt;$D$19,Datos!$B$3,IF(Datos!$B$3/$D$19*D43&lt;Datos!$C$3,Datos!$C$3,Datos!$B$3/$D$19*D43))</f>
        <v>179369</v>
      </c>
      <c r="H43" s="37">
        <f>+IF($D43&gt;$D$19,Datos!$B$6,IF(Datos!$B$6/$D$19*$D43&lt;Datos!$C$6,Datos!$C$6,Datos!$B$6/$D$19*$D43))</f>
        <v>116963</v>
      </c>
      <c r="I43" s="37">
        <f>+IF($D43&gt;$D$19,Datos!$B$9,IF(Datos!$B$9/$D$19*$D43&lt;Datos!$C$9,Datos!$C$9,Datos!$B$9/$D$19*$D43))</f>
        <v>144942</v>
      </c>
      <c r="L43" s="76">
        <f>+IF(D43&lt;$D$19,Datos!$B$29/$D$19*D43,Datos!$B$29)</f>
        <v>14801.76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73"/>
      <c r="F44" s="37">
        <f>Datos!$B$15/20</f>
        <v>26492.799999999999</v>
      </c>
      <c r="G44" s="37">
        <f>Datos!$B$5</f>
        <v>9911.42</v>
      </c>
      <c r="H44" s="37">
        <f>Datos!$B$8</f>
        <v>6415.37</v>
      </c>
      <c r="I44" s="37">
        <f>Datos!$B$11</f>
        <v>7949.47</v>
      </c>
      <c r="L44" s="76">
        <f>Datos!$B$31</f>
        <v>1578.95</v>
      </c>
      <c r="M44" s="27"/>
    </row>
    <row r="45" spans="1:13" x14ac:dyDescent="0.2">
      <c r="A45" s="9" t="s">
        <v>75</v>
      </c>
      <c r="C45" s="8"/>
      <c r="D45" s="37"/>
      <c r="E45" s="73"/>
      <c r="F45" s="37"/>
      <c r="G45" s="37"/>
      <c r="H45" s="37"/>
      <c r="I45" s="37"/>
      <c r="L45" s="76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73"/>
      <c r="F46" s="37">
        <f>+IF(D46&gt;$D$34,Datos!$B$16,IF(Datos!$B$16/$D$34*D46&lt;Datos!$C$16,Datos!$C$16,Datos!$B$16/$D$34*D46))</f>
        <v>1059712</v>
      </c>
      <c r="G46" s="37">
        <f>+IF(D46&gt;$D$34,Datos!$B$4,IF(Datos!$B$4/$D$34*D46&lt;Datos!$C$4,Datos!$C$4,Datos!$B$4/$D$34*D46))</f>
        <v>376634</v>
      </c>
      <c r="H46" s="37">
        <f>+IF($D46&gt;$D$34,Datos!$B$7,IF(Datos!$B$7/$D$34*$D46&lt;Datos!$C$7,Datos!$C$7,Datos!$B$7/$D$34*$D46))</f>
        <v>243784</v>
      </c>
      <c r="I46" s="37">
        <f>+IF($D46&gt;$D$34,Datos!$B$10,IF(Datos!$B$10/$D$34*$D46&lt;Datos!$C$10,Datos!$C$10,Datos!$B$10/$D$34*$D46))</f>
        <v>302080</v>
      </c>
      <c r="J46" s="30">
        <v>1</v>
      </c>
      <c r="K46" s="30">
        <v>1</v>
      </c>
      <c r="L46" s="76">
        <f>+IF(D46&lt;$D$34,Datos!$B$30/$D$34*D46,Datos!$B$30)</f>
        <v>60000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73"/>
      <c r="F47" s="37">
        <f>+IF(D47&gt;$D$34,Datos!$B$16,IF(Datos!$B$16/$D$34*D47&lt;Datos!$C$16,Datos!$C$16,Datos!$B$16/$D$34*D47))</f>
        <v>1059712</v>
      </c>
      <c r="G47" s="37">
        <f>+IF(D47&gt;$D$34,Datos!$B$4,IF(Datos!$B$4/$D$34*D47&lt;Datos!$C$4,Datos!$C$4,Datos!$B$4/$D$34*D47))</f>
        <v>376634</v>
      </c>
      <c r="H47" s="37">
        <f>+IF($D47&gt;$D$34,Datos!$B$7,IF(Datos!$B$7/$D$34*$D47&lt;Datos!$C$7,Datos!$C$7,Datos!$B$7/$D$34*$D47))</f>
        <v>243784</v>
      </c>
      <c r="I47" s="37">
        <f>+IF($D47&gt;$D$34,Datos!$B$10,IF(Datos!$B$10/$D$34*$D47&lt;Datos!$C$10,Datos!$C$10,Datos!$B$10/$D$34*$D47))</f>
        <v>302080</v>
      </c>
      <c r="J47" s="30">
        <v>1</v>
      </c>
      <c r="L47" s="76">
        <f>+IF(D47&lt;$D$34,Datos!$B$30/$D$34*D47,Datos!$B$30)</f>
        <v>60000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73"/>
      <c r="F48" s="37">
        <f>+IF(D48&gt;$D$34,Datos!$B$16,IF(Datos!$B$16/$D$34*D48&lt;Datos!$C$16,Datos!$C$16,Datos!$B$16/$D$34*D48))</f>
        <v>1059712</v>
      </c>
      <c r="G48" s="37">
        <f>+IF(D48&gt;$D$34,Datos!$B$4,IF(Datos!$B$4/$D$34*D48&lt;Datos!$C$4,Datos!$C$4,Datos!$B$4/$D$34*D48))</f>
        <v>376634</v>
      </c>
      <c r="H48" s="37">
        <f>+IF($D48&gt;$D$34,Datos!$B$7,IF(Datos!$B$7/$D$34*$D48&lt;Datos!$C$7,Datos!$C$7,Datos!$B$7/$D$34*$D48))</f>
        <v>243784</v>
      </c>
      <c r="I48" s="37">
        <f>+IF($D48&gt;$D$34,Datos!$B$10,IF(Datos!$B$10/$D$34*$D48&lt;Datos!$C$10,Datos!$C$10,Datos!$B$10/$D$34*$D48))</f>
        <v>302080</v>
      </c>
      <c r="J48" s="30">
        <v>1</v>
      </c>
      <c r="L48" s="76">
        <f>+IF(D48&lt;$D$34,Datos!$B$30/$D$34*D48,Datos!$B$30)</f>
        <v>60000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73"/>
      <c r="F49" s="37">
        <f>+IF(D49&gt;$D$19,Datos!$B$15,IF(Datos!$B$15/$D$19*D49&lt;Datos!$C$15,Datos!$C$15,Datos!$B$15/$D$19*D49))</f>
        <v>529856</v>
      </c>
      <c r="G49" s="37">
        <f>+IF(D49&gt;$D$19,Datos!$B$3,IF(Datos!$B$3/$D$19*D49&lt;Datos!$C$3,Datos!$C$3,Datos!$B$3/$D$19*D49))</f>
        <v>188317</v>
      </c>
      <c r="H49" s="37">
        <f>+IF($D49&gt;$D$19,Datos!$B$6,IF(Datos!$B$6/$D$19*$D49&lt;Datos!$C$6,Datos!$C$6,Datos!$B$6/$D$19*$D49))</f>
        <v>121892</v>
      </c>
      <c r="I49" s="37">
        <f>+IF($D49&gt;$D$19,Datos!$B$9,IF(Datos!$B$9/$D$19*$D49&lt;Datos!$C$9,Datos!$C$9,Datos!$B$9/$D$19*$D49))</f>
        <v>151040</v>
      </c>
      <c r="J49" s="30">
        <v>1</v>
      </c>
      <c r="K49" s="30">
        <v>1</v>
      </c>
      <c r="L49" s="76">
        <f>+IF(D49&lt;$D$19,Datos!$B$29/$D$19*D49,Datos!$B$29)</f>
        <v>30000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73"/>
      <c r="F50" s="37">
        <f>+IF(D50&gt;$D$19,Datos!$B$15,IF(Datos!$B$15/$D$19*D50&lt;Datos!$C$15,Datos!$C$15,Datos!$B$15/$D$19*D50))</f>
        <v>529856</v>
      </c>
      <c r="G50" s="37">
        <f>+IF(D50&gt;$D$19,Datos!$B$3,IF(Datos!$B$3/$D$19*D50&lt;Datos!$C$3,Datos!$C$3,Datos!$B$3/$D$19*D50))</f>
        <v>188317</v>
      </c>
      <c r="H50" s="37">
        <f>+IF($D50&gt;$D$19,Datos!$B$6,IF(Datos!$B$6/$D$19*$D50&lt;Datos!$C$6,Datos!$C$6,Datos!$B$6/$D$19*$D50))</f>
        <v>121892</v>
      </c>
      <c r="I50" s="37">
        <f>+IF($D50&gt;$D$19,Datos!$B$9,IF(Datos!$B$9/$D$19*$D50&lt;Datos!$C$9,Datos!$C$9,Datos!$B$9/$D$19*$D50))</f>
        <v>151040</v>
      </c>
      <c r="J50" s="30">
        <v>1</v>
      </c>
      <c r="L50" s="76">
        <f>+IF(D50&lt;$D$19,Datos!$B$29/$D$19*D50,Datos!$B$29)</f>
        <v>30000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73"/>
      <c r="F51" s="37">
        <f>+IF(D51&gt;$D$19,Datos!$B$15,IF(Datos!$B$15/$D$19*D51&lt;Datos!$C$15,Datos!$C$15,Datos!$B$15/$D$19*D51))</f>
        <v>529856</v>
      </c>
      <c r="G51" s="37">
        <f>+IF(D51&gt;$D$19,Datos!$B$3,IF(Datos!$B$3/$D$19*D51&lt;Datos!$C$3,Datos!$C$3,Datos!$B$3/$D$19*D51))</f>
        <v>188317</v>
      </c>
      <c r="H51" s="37">
        <f>+IF($D51&gt;$D$19,Datos!$B$6,IF(Datos!$B$6/$D$19*$D51&lt;Datos!$C$6,Datos!$C$6,Datos!$B$6/$D$19*$D51))</f>
        <v>121892</v>
      </c>
      <c r="I51" s="37">
        <f>+IF($D51&gt;$D$19,Datos!$B$9,IF(Datos!$B$9/$D$19*$D51&lt;Datos!$C$9,Datos!$C$9,Datos!$B$9/$D$19*$D51))</f>
        <v>151040</v>
      </c>
      <c r="J51" s="30">
        <v>1</v>
      </c>
      <c r="L51" s="76">
        <f>+IF(D51&lt;$D$19,Datos!$B$29/$D$19*D51,Datos!$B$29)</f>
        <v>30000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73"/>
      <c r="F52" s="37">
        <f>+IF(D52&gt;$D$19,Datos!$B$15,IF(Datos!$B$15/$D$19*D52&lt;Datos!$C$15,Datos!$C$15,Datos!$B$15/$D$19*D52))</f>
        <v>529856</v>
      </c>
      <c r="G52" s="37">
        <f>+IF(D52&gt;$D$19,Datos!$B$3,IF(Datos!$B$3/$D$19*D52&lt;Datos!$C$3,Datos!$C$3,Datos!$B$3/$D$19*D52))</f>
        <v>188317</v>
      </c>
      <c r="H52" s="37">
        <f>+IF($D52&gt;$D$19,Datos!$B$6,IF(Datos!$B$6/$D$19*$D52&lt;Datos!$C$6,Datos!$C$6,Datos!$B$6/$D$19*$D52))</f>
        <v>121892</v>
      </c>
      <c r="I52" s="37">
        <f>+IF($D52&gt;$D$19,Datos!$B$9,IF(Datos!$B$9/$D$19*$D52&lt;Datos!$C$9,Datos!$C$9,Datos!$B$9/$D$19*$D52))</f>
        <v>151040</v>
      </c>
      <c r="L52" s="76">
        <f>+IF(D52&lt;$D$19,Datos!$B$29/$D$19*D52,Datos!$B$29)</f>
        <v>30000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73"/>
      <c r="F53" s="37">
        <f>+IF(D53&gt;$D$19,Datos!$B$15,IF(Datos!$B$15/$D$19*D53&lt;Datos!$C$15,Datos!$C$15,Datos!$B$15/$D$19*D53))</f>
        <v>529856</v>
      </c>
      <c r="G53" s="37">
        <f>+IF(D53&gt;$D$19,Datos!$B$3,IF(Datos!$B$3/$D$19*D53&lt;Datos!$C$3,Datos!$C$3,Datos!$B$3/$D$19*D53))</f>
        <v>188317</v>
      </c>
      <c r="H53" s="37">
        <f>+IF($D53&gt;$D$19,Datos!$B$6,IF(Datos!$B$6/$D$19*$D53&lt;Datos!$C$6,Datos!$C$6,Datos!$B$6/$D$19*$D53))</f>
        <v>121892</v>
      </c>
      <c r="I53" s="37">
        <f>+IF($D53&gt;$D$19,Datos!$B$9,IF(Datos!$B$9/$D$19*$D53&lt;Datos!$C$9,Datos!$C$9,Datos!$B$9/$D$19*$D53))</f>
        <v>151040</v>
      </c>
      <c r="L53" s="76">
        <f>+IF(D53&lt;$D$19,Datos!$B$29/$D$19*D53,Datos!$B$29)</f>
        <v>30000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73"/>
      <c r="F54" s="37">
        <f>+IF(D54&gt;$D$19,Datos!$B$15,IF(Datos!$B$15/$D$19*D54&lt;Datos!$C$15,Datos!$C$15,Datos!$B$15/$D$19*D54))</f>
        <v>529856</v>
      </c>
      <c r="G54" s="37">
        <f>+IF(D54&gt;$D$19,Datos!$B$3,IF(Datos!$B$3/$D$19*D54&lt;Datos!$C$3,Datos!$C$3,Datos!$B$3/$D$19*D54))</f>
        <v>188317</v>
      </c>
      <c r="H54" s="37">
        <f>+IF($D54&gt;$D$19,Datos!$B$6,IF(Datos!$B$6/$D$19*$D54&lt;Datos!$C$6,Datos!$C$6,Datos!$B$6/$D$19*$D54))</f>
        <v>121892</v>
      </c>
      <c r="I54" s="37">
        <f>+IF($D54&gt;$D$19,Datos!$B$9,IF(Datos!$B$9/$D$19*$D54&lt;Datos!$C$9,Datos!$C$9,Datos!$B$9/$D$19*$D54))</f>
        <v>151040</v>
      </c>
      <c r="L54" s="76">
        <f>+IF(D54&lt;$D$19,Datos!$B$29/$D$19*D54,Datos!$B$29)</f>
        <v>30000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73"/>
      <c r="F55" s="37">
        <f>+IF(D55&gt;$D$19,Datos!$B$15,IF(Datos!$B$15/$D$19*D55&lt;Datos!$C$15,Datos!$C$15,Datos!$B$15/$D$19*D55))</f>
        <v>529856</v>
      </c>
      <c r="G55" s="37">
        <f>+IF(D55&gt;$D$19,Datos!$B$3,IF(Datos!$B$3/$D$19*D55&lt;Datos!$C$3,Datos!$C$3,Datos!$B$3/$D$19*D55))</f>
        <v>188317</v>
      </c>
      <c r="H55" s="37">
        <f>+IF($D55&gt;$D$19,Datos!$B$6,IF(Datos!$B$6/$D$19*$D55&lt;Datos!$C$6,Datos!$C$6,Datos!$B$6/$D$19*$D55))</f>
        <v>121892</v>
      </c>
      <c r="I55" s="37">
        <f>+IF($D55&gt;$D$19,Datos!$B$9,IF(Datos!$B$9/$D$19*$D55&lt;Datos!$C$9,Datos!$C$9,Datos!$B$9/$D$19*$D55))</f>
        <v>151040</v>
      </c>
      <c r="L55" s="76">
        <f>+IF(D55&lt;$D$19,Datos!$B$29/$D$19*D55,Datos!$B$29)</f>
        <v>30000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73"/>
      <c r="F56" s="37">
        <f>+IF(D56&gt;$D$19,Datos!$B$15,IF(Datos!$B$15/$D$19*D56&lt;Datos!$C$15,Datos!$C$15,Datos!$B$15/$D$19*D56))</f>
        <v>529856</v>
      </c>
      <c r="G56" s="37">
        <f>+IF(D56&gt;$D$19,Datos!$B$3,IF(Datos!$B$3/$D$19*D56&lt;Datos!$C$3,Datos!$C$3,Datos!$B$3/$D$19*D56))</f>
        <v>188317</v>
      </c>
      <c r="H56" s="37">
        <f>+IF($D56&gt;$D$19,Datos!$B$6,IF(Datos!$B$6/$D$19*$D56&lt;Datos!$C$6,Datos!$C$6,Datos!$B$6/$D$19*$D56))</f>
        <v>121892</v>
      </c>
      <c r="I56" s="37">
        <f>+IF($D56&gt;$D$19,Datos!$B$9,IF(Datos!$B$9/$D$19*$D56&lt;Datos!$C$9,Datos!$C$9,Datos!$B$9/$D$19*$D56))</f>
        <v>151040</v>
      </c>
      <c r="L56" s="76">
        <f>+IF(D56&lt;$D$19,Datos!$B$29/$D$19*D56,Datos!$B$29)</f>
        <v>30000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73"/>
      <c r="F57" s="37">
        <f>+IF(D57&gt;$D$19,Datos!$B$15,IF(Datos!$B$15/$D$19*D57&lt;Datos!$C$15,Datos!$C$15,Datos!$B$15/$D$19*D57))</f>
        <v>529856</v>
      </c>
      <c r="G57" s="37">
        <f>+IF(D57&gt;$D$19,Datos!$B$3,IF(Datos!$B$3/$D$19*D57&lt;Datos!$C$3,Datos!$C$3,Datos!$B$3/$D$19*D57))</f>
        <v>188317</v>
      </c>
      <c r="H57" s="37">
        <f>+IF($D57&gt;$D$19,Datos!$B$6,IF(Datos!$B$6/$D$19*$D57&lt;Datos!$C$6,Datos!$C$6,Datos!$B$6/$D$19*$D57))</f>
        <v>121892</v>
      </c>
      <c r="I57" s="37">
        <f>+IF($D57&gt;$D$19,Datos!$B$9,IF(Datos!$B$9/$D$19*$D57&lt;Datos!$C$9,Datos!$C$9,Datos!$B$9/$D$19*$D57))</f>
        <v>151040</v>
      </c>
      <c r="L57" s="76">
        <f>+IF(D57&lt;$D$19,Datos!$B$29/$D$19*D57,Datos!$B$29)</f>
        <v>30000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73"/>
      <c r="F58" s="37">
        <f>+IF(D58&gt;$D$19,Datos!$B$15,IF(Datos!$B$15/$D$19*D58&lt;Datos!$C$15,Datos!$C$15,Datos!$B$15/$D$19*D58))</f>
        <v>529856</v>
      </c>
      <c r="G58" s="37">
        <f>+IF(D58&gt;$D$19,Datos!$B$3,IF(Datos!$B$3/$D$19*D58&lt;Datos!$C$3,Datos!$C$3,Datos!$B$3/$D$19*D58))</f>
        <v>188317</v>
      </c>
      <c r="H58" s="37">
        <f>+IF($D58&gt;$D$19,Datos!$B$6,IF(Datos!$B$6/$D$19*$D58&lt;Datos!$C$6,Datos!$C$6,Datos!$B$6/$D$19*$D58))</f>
        <v>121892</v>
      </c>
      <c r="I58" s="37">
        <f>+IF($D58&gt;$D$19,Datos!$B$9,IF(Datos!$B$9/$D$19*$D58&lt;Datos!$C$9,Datos!$C$9,Datos!$B$9/$D$19*$D58))</f>
        <v>151040</v>
      </c>
      <c r="L58" s="76">
        <f>+IF(D58&lt;$D$19,Datos!$B$29/$D$19*D58,Datos!$B$29)</f>
        <v>30000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73"/>
      <c r="F59" s="37">
        <f>+IF(D59&gt;$D$19,Datos!$B$15,IF(Datos!$B$15/$D$19*D59&lt;Datos!$C$15,Datos!$C$15,Datos!$B$15/$D$19*D59))</f>
        <v>447926.72</v>
      </c>
      <c r="G59" s="37">
        <f>+IF(D59&gt;$D$19,Datos!$B$3,IF(Datos!$B$3/$D$19*D59&lt;Datos!$C$3,Datos!$C$3,Datos!$B$3/$D$19*D59))</f>
        <v>179369</v>
      </c>
      <c r="H59" s="37">
        <f>+IF($D59&gt;$D$19,Datos!$B$6,IF(Datos!$B$6/$D$19*$D59&lt;Datos!$C$6,Datos!$C$6,Datos!$B$6/$D$19*$D59))</f>
        <v>116963</v>
      </c>
      <c r="I59" s="37">
        <f>+IF($D59&gt;$D$19,Datos!$B$9,IF(Datos!$B$9/$D$19*$D59&lt;Datos!$C$9,Datos!$C$9,Datos!$B$9/$D$19*$D59))</f>
        <v>144942</v>
      </c>
      <c r="L59" s="76">
        <f>+IF(D59&lt;$D$19,Datos!$B$29/$D$19*D59,Datos!$B$29)</f>
        <v>25361.23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73"/>
      <c r="F60" s="37">
        <f>+IF(D60&gt;$D$19,Datos!$B$15,IF(Datos!$B$15/$D$19*D60&lt;Datos!$C$15,Datos!$C$15,Datos!$B$15/$D$19*D60))</f>
        <v>458430.48</v>
      </c>
      <c r="G60" s="37">
        <f>+IF(D60&gt;$D$19,Datos!$B$3,IF(Datos!$B$3/$D$19*D60&lt;Datos!$C$3,Datos!$C$3,Datos!$B$3/$D$19*D60))</f>
        <v>179369</v>
      </c>
      <c r="H60" s="37">
        <f>+IF($D60&gt;$D$19,Datos!$B$6,IF(Datos!$B$6/$D$19*$D60&lt;Datos!$C$6,Datos!$C$6,Datos!$B$6/$D$19*$D60))</f>
        <v>116963</v>
      </c>
      <c r="I60" s="37">
        <f>+IF($D60&gt;$D$19,Datos!$B$9,IF(Datos!$B$9/$D$19*$D60&lt;Datos!$C$9,Datos!$C$9,Datos!$B$9/$D$19*$D60))</f>
        <v>144942</v>
      </c>
      <c r="L60" s="76">
        <f>+IF(D60&lt;$D$19,Datos!$B$29/$D$19*D60,Datos!$B$29)</f>
        <v>25955.95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73"/>
      <c r="F61" s="37">
        <f>+IF(D61&gt;$D$19,Datos!$B$15,IF(Datos!$B$15/$D$19*D61&lt;Datos!$C$15,Datos!$C$15,Datos!$B$15/$D$19*D61))</f>
        <v>378135.12</v>
      </c>
      <c r="G61" s="37">
        <f>+IF(D61&gt;$D$19,Datos!$B$3,IF(Datos!$B$3/$D$19*D61&lt;Datos!$C$3,Datos!$C$3,Datos!$B$3/$D$19*D61))</f>
        <v>179369</v>
      </c>
      <c r="H61" s="37">
        <f>+IF($D61&gt;$D$19,Datos!$B$6,IF(Datos!$B$6/$D$19*$D61&lt;Datos!$C$6,Datos!$C$6,Datos!$B$6/$D$19*$D61))</f>
        <v>116963</v>
      </c>
      <c r="I61" s="37">
        <f>+IF($D61&gt;$D$19,Datos!$B$9,IF(Datos!$B$9/$D$19*$D61&lt;Datos!$C$9,Datos!$C$9,Datos!$B$9/$D$19*$D61))</f>
        <v>144942</v>
      </c>
      <c r="L61" s="76">
        <f>+IF(D61&lt;$D$19,Datos!$B$29/$D$19*D61,Datos!$B$29)</f>
        <v>21409.69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73"/>
      <c r="F62" s="37">
        <f>+IF(D62&gt;$D$19,Datos!$B$15,IF(Datos!$B$15/$D$19*D62&lt;Datos!$C$15,Datos!$C$15,Datos!$B$15/$D$19*D62))</f>
        <v>529856</v>
      </c>
      <c r="G62" s="37">
        <f>+IF(D62&gt;$D$19,Datos!$B$3,IF(Datos!$B$3/$D$19*D62&lt;Datos!$C$3,Datos!$C$3,Datos!$B$3/$D$19*D62))</f>
        <v>188317</v>
      </c>
      <c r="H62" s="37">
        <f>+IF($D62&gt;$D$19,Datos!$B$6,IF(Datos!$B$6/$D$19*$D62&lt;Datos!$C$6,Datos!$C$6,Datos!$B$6/$D$19*$D62))</f>
        <v>121892</v>
      </c>
      <c r="I62" s="37">
        <f>+IF($D62&gt;$D$19,Datos!$B$9,IF(Datos!$B$9/$D$19*$D62&lt;Datos!$C$9,Datos!$C$9,Datos!$B$9/$D$19*$D62))</f>
        <v>151040</v>
      </c>
      <c r="L62" s="76">
        <f>+IF(D62&lt;$D$19,Datos!$B$29/$D$19*D62,Datos!$B$29)</f>
        <v>30000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73"/>
      <c r="F63" s="37">
        <f>+IF(D63&gt;$D$19,Datos!$B$15,IF(Datos!$B$15/$D$19*D63&lt;Datos!$C$15,Datos!$C$15,Datos!$B$15/$D$19*D63))</f>
        <v>529856</v>
      </c>
      <c r="G63" s="37">
        <f>+IF(D63&gt;$D$19,Datos!$B$3,IF(Datos!$B$3/$D$19*D63&lt;Datos!$C$3,Datos!$C$3,Datos!$B$3/$D$19*D63))</f>
        <v>188317</v>
      </c>
      <c r="H63" s="37">
        <f>+IF($D63&gt;$D$19,Datos!$B$6,IF(Datos!$B$6/$D$19*$D63&lt;Datos!$C$6,Datos!$C$6,Datos!$B$6/$D$19*$D63))</f>
        <v>121892</v>
      </c>
      <c r="I63" s="37">
        <f>+IF($D63&gt;$D$19,Datos!$B$9,IF(Datos!$B$9/$D$19*$D63&lt;Datos!$C$9,Datos!$C$9,Datos!$B$9/$D$19*$D63))</f>
        <v>151040</v>
      </c>
      <c r="L63" s="76">
        <f>+IF(D63&lt;$D$19,Datos!$B$29/$D$19*D63,Datos!$B$29)</f>
        <v>30000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73"/>
      <c r="F64" s="37">
        <f>Datos!$B$15/20</f>
        <v>26492.799999999999</v>
      </c>
      <c r="G64" s="37">
        <f>Datos!$B$5</f>
        <v>9911.42</v>
      </c>
      <c r="H64" s="37">
        <f>Datos!$B$8</f>
        <v>6415.37</v>
      </c>
      <c r="I64" s="37">
        <f>Datos!$B$11</f>
        <v>7949.47</v>
      </c>
      <c r="L64" s="76">
        <f>Datos!$B$31</f>
        <v>1578.95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73"/>
      <c r="F65" s="37">
        <f>Datos!$B$15/20</f>
        <v>26492.799999999999</v>
      </c>
      <c r="G65" s="37">
        <f>Datos!$B$5</f>
        <v>9911.42</v>
      </c>
      <c r="H65" s="37">
        <f>Datos!$B$8</f>
        <v>6415.37</v>
      </c>
      <c r="I65" s="37">
        <f>Datos!$B$11</f>
        <v>7949.47</v>
      </c>
      <c r="L65" s="76">
        <f>Datos!$B$31</f>
        <v>1578.95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73"/>
      <c r="F66" s="37">
        <f>Datos!$B$15/20</f>
        <v>26492.799999999999</v>
      </c>
      <c r="G66" s="37">
        <f>Datos!$B$5</f>
        <v>9911.42</v>
      </c>
      <c r="H66" s="37">
        <f>Datos!$B$8</f>
        <v>6415.37</v>
      </c>
      <c r="I66" s="37">
        <f>Datos!$B$11</f>
        <v>7949.47</v>
      </c>
      <c r="L66" s="76">
        <f>Datos!$B$31</f>
        <v>1578.95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73"/>
      <c r="F67" s="37">
        <f>Datos!$B$15/20</f>
        <v>26492.799999999999</v>
      </c>
      <c r="G67" s="37">
        <f>Datos!$B$5</f>
        <v>9911.42</v>
      </c>
      <c r="H67" s="37">
        <f>Datos!$B$8</f>
        <v>6415.37</v>
      </c>
      <c r="I67" s="37">
        <f>Datos!$B$11</f>
        <v>7949.47</v>
      </c>
      <c r="L67" s="76">
        <f>Datos!$B$31</f>
        <v>1578.95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73"/>
      <c r="F68" s="37">
        <f>Datos!$B$15/20</f>
        <v>26492.799999999999</v>
      </c>
      <c r="G68" s="37">
        <f>Datos!$B$5</f>
        <v>9911.42</v>
      </c>
      <c r="H68" s="37">
        <f>Datos!$B$8</f>
        <v>6415.37</v>
      </c>
      <c r="I68" s="37">
        <f>Datos!$B$11</f>
        <v>7949.47</v>
      </c>
      <c r="L68" s="76">
        <f>Datos!$B$31</f>
        <v>1578.95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73"/>
      <c r="F69" s="37">
        <f>Datos!$B$15/20</f>
        <v>26492.799999999999</v>
      </c>
      <c r="G69" s="37">
        <f>Datos!$B$5</f>
        <v>9911.42</v>
      </c>
      <c r="H69" s="37">
        <f>Datos!$B$8</f>
        <v>6415.37</v>
      </c>
      <c r="I69" s="37">
        <f>Datos!$B$11</f>
        <v>7949.47</v>
      </c>
      <c r="L69" s="76">
        <f>Datos!$B$31</f>
        <v>1578.95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73"/>
      <c r="F70" s="37">
        <f>Datos!$B$15/20</f>
        <v>26492.799999999999</v>
      </c>
      <c r="G70" s="37">
        <f>Datos!$B$5</f>
        <v>9911.42</v>
      </c>
      <c r="H70" s="37">
        <f>Datos!$B$8</f>
        <v>6415.37</v>
      </c>
      <c r="I70" s="37">
        <f>Datos!$B$11</f>
        <v>7949.47</v>
      </c>
      <c r="L70" s="76">
        <f>Datos!$B$31</f>
        <v>1578.95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73"/>
      <c r="F71" s="37">
        <f>Datos!$B$15/20</f>
        <v>26492.799999999999</v>
      </c>
      <c r="G71" s="37">
        <f>Datos!$B$5</f>
        <v>9911.42</v>
      </c>
      <c r="H71" s="37">
        <f>Datos!$B$8</f>
        <v>6415.37</v>
      </c>
      <c r="I71" s="37">
        <f>Datos!$B$11</f>
        <v>7949.47</v>
      </c>
      <c r="L71" s="76">
        <f>Datos!$B$31</f>
        <v>1578.95</v>
      </c>
      <c r="M71" s="27"/>
    </row>
    <row r="72" spans="1:13" x14ac:dyDescent="0.2">
      <c r="A72" s="9" t="s">
        <v>98</v>
      </c>
      <c r="C72" s="8"/>
      <c r="D72" s="37"/>
      <c r="E72" s="73"/>
      <c r="F72" s="37"/>
      <c r="G72" s="37"/>
      <c r="H72" s="37"/>
      <c r="I72" s="37"/>
      <c r="L72" s="76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73"/>
      <c r="F73" s="37">
        <f>+IF(D73&gt;$D$19,Datos!$B$15,IF(Datos!$B$15/$D$19*D73&lt;Datos!$C$15,Datos!$C$15,Datos!$B$15/$D$19*D73))</f>
        <v>529856</v>
      </c>
      <c r="G73" s="37">
        <f>+IF(D73&gt;$D$19,Datos!$B$3,IF(Datos!$B$3/$D$19*D73&lt;Datos!$C$3,Datos!$C$3,Datos!$B$3/$D$19*D73))</f>
        <v>188317</v>
      </c>
      <c r="H73" s="37">
        <f>+IF($D73&gt;$D$19,Datos!$B$6,IF(Datos!$B$6/$D$19*$D73&lt;Datos!$C$6,Datos!$C$6,Datos!$B$6/$D$19*$D73))</f>
        <v>121892</v>
      </c>
      <c r="I73" s="37">
        <f>+IF($D73&gt;$D$19,Datos!$B$9,IF(Datos!$B$9/$D$19*$D73&lt;Datos!$C$9,Datos!$C$9,Datos!$B$9/$D$19*$D73))</f>
        <v>151040</v>
      </c>
      <c r="J73" s="30">
        <v>1</v>
      </c>
      <c r="K73" s="30">
        <v>1</v>
      </c>
      <c r="L73" s="76">
        <f>+IF(D73&lt;$D$19,Datos!$B$29/$D$19*D73,Datos!$B$29)</f>
        <v>30000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73"/>
      <c r="F74" s="37">
        <f>+IF(D74&gt;$D$19,Datos!$B$15,IF(Datos!$B$15/$D$19*D74&lt;Datos!$C$15,Datos!$C$15,Datos!$B$15/$D$19*D74))</f>
        <v>529856</v>
      </c>
      <c r="G74" s="37">
        <f>+IF(D74&gt;$D$19,Datos!$B$3,IF(Datos!$B$3/$D$19*D74&lt;Datos!$C$3,Datos!$C$3,Datos!$B$3/$D$19*D74))</f>
        <v>188317</v>
      </c>
      <c r="H74" s="37">
        <f>+IF($D74&gt;$D$19,Datos!$B$6,IF(Datos!$B$6/$D$19*$D74&lt;Datos!$C$6,Datos!$C$6,Datos!$B$6/$D$19*$D74))</f>
        <v>121892</v>
      </c>
      <c r="I74" s="37">
        <f>+IF($D74&gt;$D$19,Datos!$B$9,IF(Datos!$B$9/$D$19*$D74&lt;Datos!$C$9,Datos!$C$9,Datos!$B$9/$D$19*$D74))</f>
        <v>151040</v>
      </c>
      <c r="J74" s="30">
        <v>1</v>
      </c>
      <c r="L74" s="76">
        <f>+IF(D74&lt;$D$19,Datos!$B$29/$D$19*D74,Datos!$B$29)</f>
        <v>30000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73"/>
      <c r="F75" s="37">
        <f>+IF(D75&gt;$D$19,Datos!$B$15,IF(Datos!$B$15/$D$19*D75&lt;Datos!$C$15,Datos!$C$15,Datos!$B$15/$D$19*D75))</f>
        <v>529856</v>
      </c>
      <c r="G75" s="37">
        <f>+IF(D75&gt;$D$19,Datos!$B$3,IF(Datos!$B$3/$D$19*D75&lt;Datos!$C$3,Datos!$C$3,Datos!$B$3/$D$19*D75))</f>
        <v>188317</v>
      </c>
      <c r="H75" s="37">
        <f>+IF($D75&gt;$D$19,Datos!$B$6,IF(Datos!$B$6/$D$19*$D75&lt;Datos!$C$6,Datos!$C$6,Datos!$B$6/$D$19*$D75))</f>
        <v>121892</v>
      </c>
      <c r="I75" s="37">
        <f>+IF($D75&gt;$D$19,Datos!$B$9,IF(Datos!$B$9/$D$19*$D75&lt;Datos!$C$9,Datos!$C$9,Datos!$B$9/$D$19*$D75))</f>
        <v>151040</v>
      </c>
      <c r="L75" s="76">
        <f>+IF(D75&lt;$D$19,Datos!$B$29/$D$19*D75,Datos!$B$29)</f>
        <v>30000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73"/>
      <c r="F76" s="37">
        <f>+IF(D76&gt;$D$19,Datos!$B$15,IF(Datos!$B$15/$D$19*D76&lt;Datos!$C$15,Datos!$C$15,Datos!$B$15/$D$19*D76))</f>
        <v>529856</v>
      </c>
      <c r="G76" s="37">
        <f>+IF(D76&gt;$D$19,Datos!$B$3,IF(Datos!$B$3/$D$19*D76&lt;Datos!$C$3,Datos!$C$3,Datos!$B$3/$D$19*D76))</f>
        <v>188317</v>
      </c>
      <c r="H76" s="37">
        <f>+IF($D76&gt;$D$19,Datos!$B$6,IF(Datos!$B$6/$D$19*$D76&lt;Datos!$C$6,Datos!$C$6,Datos!$B$6/$D$19*$D76))</f>
        <v>121892</v>
      </c>
      <c r="I76" s="37">
        <f>+IF($D76&gt;$D$19,Datos!$B$9,IF(Datos!$B$9/$D$19*$D76&lt;Datos!$C$9,Datos!$C$9,Datos!$B$9/$D$19*$D76))</f>
        <v>151040</v>
      </c>
      <c r="L76" s="76">
        <f>+IF(D76&lt;$D$19,Datos!$B$29/$D$19*D76,Datos!$B$29)</f>
        <v>30000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73"/>
      <c r="F77" s="37">
        <f>+IF(D77&gt;$D$19,Datos!$B$15,IF(Datos!$B$15/$D$19*D77&lt;Datos!$C$15,Datos!$C$15,Datos!$B$15/$D$19*D77))</f>
        <v>529856</v>
      </c>
      <c r="G77" s="37">
        <f>+IF(D77&gt;$D$19,Datos!$B$3,IF(Datos!$B$3/$D$19*D77&lt;Datos!$C$3,Datos!$C$3,Datos!$B$3/$D$19*D77))</f>
        <v>188317</v>
      </c>
      <c r="H77" s="37">
        <f>+IF($D77&gt;$D$19,Datos!$B$6,IF(Datos!$B$6/$D$19*$D77&lt;Datos!$C$6,Datos!$C$6,Datos!$B$6/$D$19*$D77))</f>
        <v>121892</v>
      </c>
      <c r="I77" s="37">
        <f>+IF($D77&gt;$D$19,Datos!$B$9,IF(Datos!$B$9/$D$19*$D77&lt;Datos!$C$9,Datos!$C$9,Datos!$B$9/$D$19*$D77))</f>
        <v>151040</v>
      </c>
      <c r="L77" s="76">
        <f>+IF(D77&lt;$D$19,Datos!$B$29/$D$19*D77,Datos!$B$29)</f>
        <v>30000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73"/>
      <c r="F78" s="37">
        <f>+IF(D78&gt;$D$19,Datos!$B$15,IF(Datos!$B$15/$D$19*D78&lt;Datos!$C$15,Datos!$C$15,Datos!$B$15/$D$19*D78))</f>
        <v>384203.95</v>
      </c>
      <c r="G78" s="37">
        <f>+IF(D78&gt;$D$19,Datos!$B$3,IF(Datos!$B$3/$D$19*D78&lt;Datos!$C$3,Datos!$C$3,Datos!$B$3/$D$19*D78))</f>
        <v>179369</v>
      </c>
      <c r="H78" s="37">
        <f>+IF($D78&gt;$D$19,Datos!$B$6,IF(Datos!$B$6/$D$19*$D78&lt;Datos!$C$6,Datos!$C$6,Datos!$B$6/$D$19*$D78))</f>
        <v>116963</v>
      </c>
      <c r="I78" s="37">
        <f>+IF($D78&gt;$D$19,Datos!$B$9,IF(Datos!$B$9/$D$19*$D78&lt;Datos!$C$9,Datos!$C$9,Datos!$B$9/$D$19*$D78))</f>
        <v>144942</v>
      </c>
      <c r="L78" s="76">
        <f>+IF(D78&lt;$D$19,Datos!$B$29/$D$19*D78,Datos!$B$29)</f>
        <v>21753.3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73"/>
      <c r="F79" s="37">
        <f>+IF(D79&gt;$D$19,Datos!$B$15,IF(Datos!$B$15/$D$19*D79&lt;Datos!$C$15,Datos!$C$15,Datos!$B$15/$D$19*D79))</f>
        <v>529856</v>
      </c>
      <c r="G79" s="37">
        <f>+IF(D79&gt;$D$19,Datos!$B$3,IF(Datos!$B$3/$D$19*D79&lt;Datos!$C$3,Datos!$C$3,Datos!$B$3/$D$19*D79))</f>
        <v>188317</v>
      </c>
      <c r="H79" s="37">
        <f>+IF($D79&gt;$D$19,Datos!$B$6,IF(Datos!$B$6/$D$19*$D79&lt;Datos!$C$6,Datos!$C$6,Datos!$B$6/$D$19*$D79))</f>
        <v>121892</v>
      </c>
      <c r="I79" s="37">
        <f>+IF($D79&gt;$D$19,Datos!$B$9,IF(Datos!$B$9/$D$19*$D79&lt;Datos!$C$9,Datos!$C$9,Datos!$B$9/$D$19*$D79))</f>
        <v>151040</v>
      </c>
      <c r="L79" s="76">
        <f>+IF(D79&lt;$D$19,Datos!$B$29/$D$19*D79,Datos!$B$29)</f>
        <v>30000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73"/>
      <c r="F80" s="37">
        <f>+IF(D80&gt;$D$19,Datos!$B$15,IF(Datos!$B$15/$D$19*D80&lt;Datos!$C$15,Datos!$C$15,Datos!$B$15/$D$19*D80))</f>
        <v>470568.15</v>
      </c>
      <c r="G80" s="37">
        <f>+IF(D80&gt;$D$19,Datos!$B$3,IF(Datos!$B$3/$D$19*D80&lt;Datos!$C$3,Datos!$C$3,Datos!$B$3/$D$19*D80))</f>
        <v>179369</v>
      </c>
      <c r="H80" s="37">
        <f>+IF($D80&gt;$D$19,Datos!$B$6,IF(Datos!$B$6/$D$19*$D80&lt;Datos!$C$6,Datos!$C$6,Datos!$B$6/$D$19*$D80))</f>
        <v>116963</v>
      </c>
      <c r="I80" s="37">
        <f>+IF($D80&gt;$D$19,Datos!$B$9,IF(Datos!$B$9/$D$19*$D80&lt;Datos!$C$9,Datos!$C$9,Datos!$B$9/$D$19*$D80))</f>
        <v>144942</v>
      </c>
      <c r="L80" s="76">
        <f>+IF(D80&lt;$D$19,Datos!$B$29/$D$19*D80,Datos!$B$29)</f>
        <v>26643.17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73"/>
      <c r="F81" s="37">
        <f>+IF(D81&gt;$D$19,Datos!$B$15,IF(Datos!$B$15/$D$19*D81&lt;Datos!$C$15,Datos!$C$15,Datos!$B$15/$D$19*D81))</f>
        <v>385137.62</v>
      </c>
      <c r="G81" s="37">
        <f>+IF(D81&gt;$D$19,Datos!$B$3,IF(Datos!$B$3/$D$19*D81&lt;Datos!$C$3,Datos!$C$3,Datos!$B$3/$D$19*D81))</f>
        <v>179369</v>
      </c>
      <c r="H81" s="37">
        <f>+IF($D81&gt;$D$19,Datos!$B$6,IF(Datos!$B$6/$D$19*$D81&lt;Datos!$C$6,Datos!$C$6,Datos!$B$6/$D$19*$D81))</f>
        <v>116963</v>
      </c>
      <c r="I81" s="37">
        <f>+IF($D81&gt;$D$19,Datos!$B$9,IF(Datos!$B$9/$D$19*$D81&lt;Datos!$C$9,Datos!$C$9,Datos!$B$9/$D$19*$D81))</f>
        <v>144942</v>
      </c>
      <c r="L81" s="76">
        <f>+IF(D81&lt;$D$19,Datos!$B$29/$D$19*D81,Datos!$B$29)</f>
        <v>21806.17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73"/>
      <c r="F82" s="37">
        <f>+IF(D82&gt;$D$19,Datos!$B$15,IF(Datos!$B$15/$D$19*D82&lt;Datos!$C$15,Datos!$C$15,Datos!$B$15/$D$19*D82))</f>
        <v>385137.62</v>
      </c>
      <c r="G82" s="37">
        <f>+IF(D82&gt;$D$19,Datos!$B$3,IF(Datos!$B$3/$D$19*D82&lt;Datos!$C$3,Datos!$C$3,Datos!$B$3/$D$19*D82))</f>
        <v>179369</v>
      </c>
      <c r="H82" s="37">
        <f>+IF($D82&gt;$D$19,Datos!$B$6,IF(Datos!$B$6/$D$19*$D82&lt;Datos!$C$6,Datos!$C$6,Datos!$B$6/$D$19*$D82))</f>
        <v>116963</v>
      </c>
      <c r="I82" s="37">
        <f>+IF($D82&gt;$D$19,Datos!$B$9,IF(Datos!$B$9/$D$19*$D82&lt;Datos!$C$9,Datos!$C$9,Datos!$B$9/$D$19*$D82))</f>
        <v>144942</v>
      </c>
      <c r="L82" s="76">
        <f>+IF(D82&lt;$D$19,Datos!$B$29/$D$19*D82,Datos!$B$29)</f>
        <v>21806.17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73"/>
      <c r="F83" s="37">
        <f>+IF(D83&gt;$D$19,Datos!$B$15,IF(Datos!$B$15/$D$19*D83&lt;Datos!$C$15,Datos!$C$15,Datos!$B$15/$D$19*D83))</f>
        <v>378135.12</v>
      </c>
      <c r="G83" s="37">
        <f>+IF(D83&gt;$D$19,Datos!$B$3,IF(Datos!$B$3/$D$19*D83&lt;Datos!$C$3,Datos!$C$3,Datos!$B$3/$D$19*D83))</f>
        <v>179369</v>
      </c>
      <c r="H83" s="37">
        <f>+IF($D83&gt;$D$19,Datos!$B$6,IF(Datos!$B$6/$D$19*$D83&lt;Datos!$C$6,Datos!$C$6,Datos!$B$6/$D$19*$D83))</f>
        <v>116963</v>
      </c>
      <c r="I83" s="37">
        <f>+IF($D83&gt;$D$19,Datos!$B$9,IF(Datos!$B$9/$D$19*$D83&lt;Datos!$C$9,Datos!$C$9,Datos!$B$9/$D$19*$D83))</f>
        <v>144942</v>
      </c>
      <c r="L83" s="76">
        <f>+IF(D83&lt;$D$19,Datos!$B$29/$D$19*D83,Datos!$B$29)</f>
        <v>21409.69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73"/>
      <c r="F84" s="37">
        <f>+IF(D84&gt;$D$19,Datos!$B$15,IF(Datos!$B$15/$D$19*D84&lt;Datos!$C$15,Datos!$C$15,Datos!$B$15/$D$19*D84))</f>
        <v>470568.15</v>
      </c>
      <c r="G84" s="37">
        <f>+IF(D84&gt;$D$19,Datos!$B$3,IF(Datos!$B$3/$D$19*D84&lt;Datos!$C$3,Datos!$C$3,Datos!$B$3/$D$19*D84))</f>
        <v>179369</v>
      </c>
      <c r="H84" s="37">
        <f>+IF($D84&gt;$D$19,Datos!$B$6,IF(Datos!$B$6/$D$19*$D84&lt;Datos!$C$6,Datos!$C$6,Datos!$B$6/$D$19*$D84))</f>
        <v>116963</v>
      </c>
      <c r="I84" s="37">
        <f>+IF($D84&gt;$D$19,Datos!$B$9,IF(Datos!$B$9/$D$19*$D84&lt;Datos!$C$9,Datos!$C$9,Datos!$B$9/$D$19*$D84))</f>
        <v>144942</v>
      </c>
      <c r="L84" s="76">
        <f>+IF(D84&lt;$D$19,Datos!$B$29/$D$19*D84,Datos!$B$29)</f>
        <v>26643.17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73"/>
      <c r="F85" s="37">
        <f>+IF(D85&gt;$D$19,Datos!$B$15,IF(Datos!$B$15/$D$19*D85&lt;Datos!$C$15,Datos!$C$15,Datos!$B$15/$D$19*D85))</f>
        <v>444425.47</v>
      </c>
      <c r="G85" s="37">
        <f>+IF(D85&gt;$D$19,Datos!$B$3,IF(Datos!$B$3/$D$19*D85&lt;Datos!$C$3,Datos!$C$3,Datos!$B$3/$D$19*D85))</f>
        <v>179369</v>
      </c>
      <c r="H85" s="37">
        <f>+IF($D85&gt;$D$19,Datos!$B$6,IF(Datos!$B$6/$D$19*$D85&lt;Datos!$C$6,Datos!$C$6,Datos!$B$6/$D$19*$D85))</f>
        <v>116963</v>
      </c>
      <c r="I85" s="37">
        <f>+IF($D85&gt;$D$19,Datos!$B$9,IF(Datos!$B$9/$D$19*$D85&lt;Datos!$C$9,Datos!$C$9,Datos!$B$9/$D$19*$D85))</f>
        <v>144942</v>
      </c>
      <c r="L85" s="76">
        <f>+IF(D85&lt;$D$19,Datos!$B$29/$D$19*D85,Datos!$B$29)</f>
        <v>25163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73"/>
      <c r="F86" s="37">
        <f>Datos!$B$15/20</f>
        <v>26492.799999999999</v>
      </c>
      <c r="G86" s="37">
        <f>Datos!$B$5</f>
        <v>9911.42</v>
      </c>
      <c r="H86" s="37">
        <f>Datos!$B$8</f>
        <v>6415.37</v>
      </c>
      <c r="I86" s="37">
        <f>Datos!$B$11</f>
        <v>7949.47</v>
      </c>
      <c r="L86" s="76">
        <f>Datos!$B$31</f>
        <v>1578.95</v>
      </c>
      <c r="M86" s="27"/>
    </row>
    <row r="87" spans="1:13" x14ac:dyDescent="0.2">
      <c r="A87" s="9" t="s">
        <v>121</v>
      </c>
      <c r="C87" s="8"/>
      <c r="D87" s="37"/>
      <c r="E87" s="73"/>
      <c r="F87" s="37"/>
      <c r="G87" s="37"/>
      <c r="H87" s="37"/>
      <c r="I87" s="37"/>
      <c r="L87" s="76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73"/>
      <c r="F88" s="37">
        <f>+IF(D88&gt;$D$19,Datos!$B$15,IF(Datos!$B$15/$D$19*D88&lt;Datos!$C$15,Datos!$C$15,Datos!$B$15/$D$19*D88))</f>
        <v>529856</v>
      </c>
      <c r="G88" s="37">
        <f>+IF(D88&gt;$D$19,Datos!$B$3,IF(Datos!$B$3/$D$19*D88&lt;Datos!$C$3,Datos!$C$3,Datos!$B$3/$D$19*D88))</f>
        <v>188317</v>
      </c>
      <c r="H88" s="37">
        <f>+IF($D88&gt;$D$19,Datos!$B$6,IF(Datos!$B$6/$D$19*$D88&lt;Datos!$C$6,Datos!$C$6,Datos!$B$6/$D$19*$D88))</f>
        <v>121892</v>
      </c>
      <c r="I88" s="37">
        <f>+IF($D88&gt;$D$19,Datos!$B$9,IF(Datos!$B$9/$D$19*$D88&lt;Datos!$C$9,Datos!$C$9,Datos!$B$9/$D$19*$D88))</f>
        <v>151040</v>
      </c>
      <c r="J88" s="30">
        <v>1</v>
      </c>
      <c r="L88" s="76">
        <f>+IF(D88&lt;$D$19,Datos!$B$29/$D$19*D88,Datos!$B$29)</f>
        <v>30000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73"/>
      <c r="F89" s="37">
        <f>+IF(D89&gt;$D$19,Datos!$B$15,IF(Datos!$B$15/$D$19*D89&lt;Datos!$C$15,Datos!$C$15,Datos!$B$15/$D$19*D89))</f>
        <v>529856</v>
      </c>
      <c r="G89" s="37">
        <f>+IF(D89&gt;$D$19,Datos!$B$3,IF(Datos!$B$3/$D$19*D89&lt;Datos!$C$3,Datos!$C$3,Datos!$B$3/$D$19*D89))</f>
        <v>188317</v>
      </c>
      <c r="H89" s="37">
        <f>+IF($D89&gt;$D$19,Datos!$B$6,IF(Datos!$B$6/$D$19*$D89&lt;Datos!$C$6,Datos!$C$6,Datos!$B$6/$D$19*$D89))</f>
        <v>121892</v>
      </c>
      <c r="I89" s="37">
        <f>+IF($D89&gt;$D$19,Datos!$B$9,IF(Datos!$B$9/$D$19*$D89&lt;Datos!$C$9,Datos!$C$9,Datos!$B$9/$D$19*$D89))</f>
        <v>151040</v>
      </c>
      <c r="J89" s="30">
        <v>1</v>
      </c>
      <c r="L89" s="76">
        <f>+IF(D89&lt;$D$19,Datos!$B$29/$D$19*D89,Datos!$B$29)</f>
        <v>30000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73"/>
      <c r="F90" s="37">
        <f>+IF(D90&gt;$D$19,Datos!$B$15,IF(Datos!$B$15/$D$19*D90&lt;Datos!$C$15,Datos!$C$15,Datos!$B$15/$D$19*D90))</f>
        <v>529856</v>
      </c>
      <c r="G90" s="37">
        <f>+IF(D90&gt;$D$19,Datos!$B$3,IF(Datos!$B$3/$D$19*D90&lt;Datos!$C$3,Datos!$C$3,Datos!$B$3/$D$19*D90))</f>
        <v>188317</v>
      </c>
      <c r="H90" s="37">
        <f>+IF($D90&gt;$D$19,Datos!$B$6,IF(Datos!$B$6/$D$19*$D90&lt;Datos!$C$6,Datos!$C$6,Datos!$B$6/$D$19*$D90))</f>
        <v>121892</v>
      </c>
      <c r="I90" s="37">
        <f>+IF($D90&gt;$D$19,Datos!$B$9,IF(Datos!$B$9/$D$19*$D90&lt;Datos!$C$9,Datos!$C$9,Datos!$B$9/$D$19*$D90))</f>
        <v>151040</v>
      </c>
      <c r="L90" s="76">
        <f>+IF(D90&lt;$D$19,Datos!$B$29/$D$19*D90,Datos!$B$29)</f>
        <v>30000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73"/>
      <c r="F91" s="37">
        <f>+IF(D91&gt;$D$19,Datos!$B$15,IF(Datos!$B$15/$D$19*D91&lt;Datos!$C$15,Datos!$C$15,Datos!$B$15/$D$19*D91))</f>
        <v>529856</v>
      </c>
      <c r="G91" s="37">
        <f>+IF(D91&gt;$D$19,Datos!$B$3,IF(Datos!$B$3/$D$19*D91&lt;Datos!$C$3,Datos!$C$3,Datos!$B$3/$D$19*D91))</f>
        <v>188317</v>
      </c>
      <c r="H91" s="37">
        <f>+IF($D91&gt;$D$19,Datos!$B$6,IF(Datos!$B$6/$D$19*$D91&lt;Datos!$C$6,Datos!$C$6,Datos!$B$6/$D$19*$D91))</f>
        <v>121892</v>
      </c>
      <c r="I91" s="37">
        <f>+IF($D91&gt;$D$19,Datos!$B$9,IF(Datos!$B$9/$D$19*$D91&lt;Datos!$C$9,Datos!$C$9,Datos!$B$9/$D$19*$D91))</f>
        <v>151040</v>
      </c>
      <c r="L91" s="76">
        <f>+IF(D91&lt;$D$19,Datos!$B$29/$D$19*D91,Datos!$B$29)</f>
        <v>30000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73"/>
      <c r="F92" s="37">
        <f>+IF(D92&gt;$D$19,Datos!$B$15,IF(Datos!$B$15/$D$19*D92&lt;Datos!$C$15,Datos!$C$15,Datos!$B$15/$D$19*D92))</f>
        <v>529856</v>
      </c>
      <c r="G92" s="37">
        <f>+IF(D92&gt;$D$19,Datos!$B$3,IF(Datos!$B$3/$D$19*D92&lt;Datos!$C$3,Datos!$C$3,Datos!$B$3/$D$19*D92))</f>
        <v>188317</v>
      </c>
      <c r="H92" s="37">
        <f>+IF($D92&gt;$D$19,Datos!$B$6,IF(Datos!$B$6/$D$19*$D92&lt;Datos!$C$6,Datos!$C$6,Datos!$B$6/$D$19*$D92))</f>
        <v>121892</v>
      </c>
      <c r="I92" s="37">
        <f>+IF($D92&gt;$D$19,Datos!$B$9,IF(Datos!$B$9/$D$19*$D92&lt;Datos!$C$9,Datos!$C$9,Datos!$B$9/$D$19*$D92))</f>
        <v>151040</v>
      </c>
      <c r="L92" s="76">
        <f>+IF(D92&lt;$D$19,Datos!$B$29/$D$19*D92,Datos!$B$29)</f>
        <v>30000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73"/>
      <c r="F93" s="37">
        <f>+IF(D93&gt;$D$19,Datos!$B$15,IF(Datos!$B$15/$D$19*D93&lt;Datos!$C$15,Datos!$C$15,Datos!$B$15/$D$19*D93))</f>
        <v>481772.15</v>
      </c>
      <c r="G93" s="37">
        <f>+IF(D93&gt;$D$19,Datos!$B$3,IF(Datos!$B$3/$D$19*D93&lt;Datos!$C$3,Datos!$C$3,Datos!$B$3/$D$19*D93))</f>
        <v>179369</v>
      </c>
      <c r="H93" s="37">
        <f>+IF($D93&gt;$D$19,Datos!$B$6,IF(Datos!$B$6/$D$19*$D93&lt;Datos!$C$6,Datos!$C$6,Datos!$B$6/$D$19*$D93))</f>
        <v>116963</v>
      </c>
      <c r="I93" s="37">
        <f>+IF($D93&gt;$D$19,Datos!$B$9,IF(Datos!$B$9/$D$19*$D93&lt;Datos!$C$9,Datos!$C$9,Datos!$B$9/$D$19*$D93))</f>
        <v>144942</v>
      </c>
      <c r="L93" s="76">
        <f>+IF(D93&lt;$D$19,Datos!$B$29/$D$19*D93,Datos!$B$29)</f>
        <v>27277.53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73"/>
      <c r="F94" s="37">
        <f>+IF(D94&gt;$D$19,Datos!$B$15,IF(Datos!$B$15/$D$19*D94&lt;Datos!$C$15,Datos!$C$15,Datos!$B$15/$D$19*D94))</f>
        <v>433688.3</v>
      </c>
      <c r="G94" s="37">
        <f>+IF(D94&gt;$D$19,Datos!$B$3,IF(Datos!$B$3/$D$19*D94&lt;Datos!$C$3,Datos!$C$3,Datos!$B$3/$D$19*D94))</f>
        <v>179369</v>
      </c>
      <c r="H94" s="37">
        <f>+IF($D94&gt;$D$19,Datos!$B$6,IF(Datos!$B$6/$D$19*$D94&lt;Datos!$C$6,Datos!$C$6,Datos!$B$6/$D$19*$D94))</f>
        <v>116963</v>
      </c>
      <c r="I94" s="37">
        <f>+IF($D94&gt;$D$19,Datos!$B$9,IF(Datos!$B$9/$D$19*$D94&lt;Datos!$C$9,Datos!$C$9,Datos!$B$9/$D$19*$D94))</f>
        <v>144942</v>
      </c>
      <c r="L94" s="76">
        <f>+IF(D94&lt;$D$19,Datos!$B$29/$D$19*D94,Datos!$B$29)</f>
        <v>24555.07</v>
      </c>
      <c r="M94" s="27"/>
    </row>
    <row r="95" spans="1:13" x14ac:dyDescent="0.2">
      <c r="A95" s="9" t="s">
        <v>128</v>
      </c>
      <c r="C95" s="8"/>
      <c r="D95" s="37"/>
      <c r="E95" s="73"/>
      <c r="F95" s="37"/>
      <c r="G95" s="37"/>
      <c r="H95" s="37"/>
      <c r="I95" s="37"/>
      <c r="L95" s="76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73"/>
      <c r="F96" s="37">
        <f>+IF(D96&gt;$D$19,Datos!$B$15,IF(Datos!$B$15/$D$19*D96&lt;Datos!$C$15,Datos!$C$15,Datos!$B$15/$D$19*D96))</f>
        <v>529856</v>
      </c>
      <c r="G96" s="37">
        <f>+IF(D96&gt;$D$34,Datos!$B$4,IF(Datos!$B$4/$D$34*D96&lt;Datos!$C$4,Datos!$C$4,Datos!$B$4/$D$34*D96))</f>
        <v>376634</v>
      </c>
      <c r="H96" s="37">
        <f>+IF($D96&gt;$D$34,Datos!$B$7,IF(Datos!$B$7/$D$34*$D96&lt;Datos!$C$7,Datos!$C$7,Datos!$B$7/$D$34*$D96))</f>
        <v>243784</v>
      </c>
      <c r="I96" s="37">
        <f>+IF($D96&gt;$D$34,Datos!$B$10,IF(Datos!$B$10/$D$34*$D96&lt;Datos!$C$10,Datos!$C$10,Datos!$B$10/$D$34*$D96))</f>
        <v>302080</v>
      </c>
      <c r="J96" s="30">
        <v>1</v>
      </c>
      <c r="K96" s="30">
        <v>1</v>
      </c>
      <c r="L96" s="76">
        <f>+IF(D96&lt;$D$34,Datos!$B$30/$D$34*D96,Datos!$B$30)</f>
        <v>60000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73"/>
      <c r="F97" s="37">
        <f>+IF(D97&gt;$D$19,Datos!$B$15,IF(Datos!$B$15/$D$19*D97&lt;Datos!$C$15,Datos!$C$15,Datos!$B$15/$D$19*D97))</f>
        <v>529856</v>
      </c>
      <c r="G97" s="37">
        <f>+IF(D97&gt;$D$34,Datos!$B$4,IF(Datos!$B$4/$D$34*D97&lt;Datos!$C$4,Datos!$C$4,Datos!$B$4/$D$34*D97))</f>
        <v>376634</v>
      </c>
      <c r="H97" s="37">
        <f>+IF($D97&gt;$D$34,Datos!$B$7,IF(Datos!$B$7/$D$34*$D97&lt;Datos!$C$7,Datos!$C$7,Datos!$B$7/$D$34*$D97))</f>
        <v>243784</v>
      </c>
      <c r="I97" s="37">
        <f>+IF($D97&gt;$D$34,Datos!$B$10,IF(Datos!$B$10/$D$34*$D97&lt;Datos!$C$10,Datos!$C$10,Datos!$B$10/$D$34*$D97))</f>
        <v>302080</v>
      </c>
      <c r="J97" s="30">
        <v>1</v>
      </c>
      <c r="L97" s="76">
        <f>+IF(D97&lt;$D$34,Datos!$B$30/$D$34*D97,Datos!$B$30)</f>
        <v>60000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73"/>
      <c r="F98" s="37">
        <f>+IF(D98&gt;$D$19,Datos!$B$15,IF(Datos!$B$15/$D$19*D98&lt;Datos!$C$15,Datos!$C$15,Datos!$B$15/$D$19*D98))</f>
        <v>529856</v>
      </c>
      <c r="G98" s="37">
        <f>+IF(D98&gt;$D$34,Datos!$B$4,IF(Datos!$B$4/$D$34*D98&lt;Datos!$C$4,Datos!$C$4,Datos!$B$4/$D$34*D98))</f>
        <v>358738</v>
      </c>
      <c r="H98" s="37">
        <f>+IF($D98&gt;$D$34,Datos!$B$7,IF(Datos!$B$7/$D$34*$D98&lt;Datos!$C$7,Datos!$C$7,Datos!$B$7/$D$34*$D98))</f>
        <v>233926</v>
      </c>
      <c r="I98" s="37">
        <f>+IF($D98&gt;$D$34,Datos!$B$10,IF(Datos!$B$10/$D$34*$D98&lt;Datos!$C$10,Datos!$C$10,Datos!$B$10/$D$34*$D98))</f>
        <v>289884</v>
      </c>
      <c r="L98" s="76">
        <f>+IF(D98&lt;$D$34,Datos!$B$30/$D$34*D98,Datos!$B$30)</f>
        <v>56289.86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73"/>
      <c r="F99" s="37">
        <f>+IF(D99&gt;$D$19,Datos!$B$15,IF(Datos!$B$15/$D$19*D99&lt;Datos!$C$15,Datos!$C$15,Datos!$B$15/$D$19*D99))</f>
        <v>470568.15</v>
      </c>
      <c r="G99" s="37">
        <f>+IF(D99&gt;$D$19,Datos!$B$3,IF(Datos!$B$3/$D$19*D99&lt;Datos!$C$3,Datos!$C$3,Datos!$B$3/$D$19*D99))</f>
        <v>179369</v>
      </c>
      <c r="H99" s="37">
        <f>+IF($D99&gt;$D$19,Datos!$B$6,IF(Datos!$B$6/$D$19*$D99&lt;Datos!$C$6,Datos!$C$6,Datos!$B$6/$D$19*$D99))</f>
        <v>116963</v>
      </c>
      <c r="I99" s="37">
        <f>+IF($D99&gt;$D$19,Datos!$B$9,IF(Datos!$B$9/$D$19*$D99&lt;Datos!$C$9,Datos!$C$9,Datos!$B$9/$D$19*$D99))</f>
        <v>144942</v>
      </c>
      <c r="L99" s="76">
        <f>+IF(D99&lt;$D$19,Datos!$B$29/$D$19*D99,Datos!$B$29)</f>
        <v>26643.17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73"/>
      <c r="F100" s="37">
        <f>+IF(D100&gt;$D$19,Datos!$B$15,IF(Datos!$B$15/$D$19*D100&lt;Datos!$C$15,Datos!$C$15,Datos!$B$15/$D$19*D100))</f>
        <v>384203.95</v>
      </c>
      <c r="G100" s="37">
        <f>+IF(D100&gt;$D$19,Datos!$B$3,IF(Datos!$B$3/$D$19*D100&lt;Datos!$C$3,Datos!$C$3,Datos!$B$3/$D$19*D100))</f>
        <v>179369</v>
      </c>
      <c r="H100" s="37">
        <f>+IF($D100&gt;$D$19,Datos!$B$6,IF(Datos!$B$6/$D$19*$D100&lt;Datos!$C$6,Datos!$C$6,Datos!$B$6/$D$19*$D100))</f>
        <v>116963</v>
      </c>
      <c r="I100" s="37">
        <f>+IF($D100&gt;$D$19,Datos!$B$9,IF(Datos!$B$9/$D$19*$D100&lt;Datos!$C$9,Datos!$C$9,Datos!$B$9/$D$19*$D100))</f>
        <v>144942</v>
      </c>
      <c r="L100" s="76">
        <f>+IF(D100&lt;$D$19,Datos!$B$29/$D$19*D100,Datos!$B$29)</f>
        <v>21753.3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73"/>
      <c r="F101" s="37">
        <f>+IF(D101&gt;$D$19,Datos!$B$15,IF(Datos!$B$15/$D$19*D101&lt;Datos!$C$15,Datos!$C$15,Datos!$B$15/$D$19*D101))</f>
        <v>529856</v>
      </c>
      <c r="G101" s="37">
        <f>+IF(D101&gt;$D$34,Datos!$B$4,IF(Datos!$B$4/$D$34*D101&lt;Datos!$C$4,Datos!$C$4,Datos!$B$4/$D$34*D101))</f>
        <v>366808.77</v>
      </c>
      <c r="H101" s="37">
        <f>+IF($D101&gt;$D$34,Datos!$B$7,IF(Datos!$B$7/$D$34*$D101&lt;Datos!$C$7,Datos!$C$7,Datos!$B$7/$D$34*$D101))</f>
        <v>237424.42</v>
      </c>
      <c r="I101" s="37">
        <f>+IF($D101&gt;$D$34,Datos!$B$10,IF(Datos!$B$10/$D$34*$D101&lt;Datos!$C$10,Datos!$C$10,Datos!$B$10/$D$34*$D101))</f>
        <v>294199.65000000002</v>
      </c>
      <c r="L101" s="76">
        <f>+IF(D101&lt;$D$19,Datos!$B$29/$D$19*D101,Datos!$B$29)</f>
        <v>30000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73"/>
      <c r="F102" s="38">
        <f>+IF(D102&gt;$D$19,Datos!$B$15,IF(Datos!$B$15/$D$19*D102&lt;Datos!$C$15,Datos!$C$15,Datos!$B$15/$D$19*D102))</f>
        <v>529856</v>
      </c>
      <c r="G102" s="38"/>
      <c r="H102" s="38"/>
      <c r="I102" s="38"/>
      <c r="L102" s="76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73"/>
      <c r="F103" s="38">
        <f>+IF(D103&gt;$D$19,Datos!$B$15,IF(Datos!$B$15/$D$19*D103&lt;Datos!$C$15,Datos!$C$15,Datos!$B$15/$D$19*D103))</f>
        <v>529856</v>
      </c>
      <c r="G103" s="38"/>
      <c r="H103" s="38"/>
      <c r="I103" s="38"/>
      <c r="L103" s="76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73"/>
      <c r="F104" s="38">
        <f>+IF(D104&gt;$D$19,Datos!$B$15,IF(Datos!$B$15/$D$19*D104&lt;Datos!$C$15,Datos!$C$15,Datos!$B$15/$D$19*D104))</f>
        <v>470568.15</v>
      </c>
      <c r="G104" s="38"/>
      <c r="H104" s="38"/>
      <c r="I104" s="38"/>
      <c r="L104" s="76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73"/>
      <c r="F105" s="38">
        <f>+IF(D105&gt;$D$19,Datos!$B$15,IF(Datos!$B$15/$D$19*D105&lt;Datos!$C$15,Datos!$C$15,Datos!$B$15/$D$19*D105))</f>
        <v>338007</v>
      </c>
      <c r="G105" s="38"/>
      <c r="H105" s="38"/>
      <c r="I105" s="38"/>
      <c r="L105" s="76"/>
    </row>
    <row r="106" spans="1:13" x14ac:dyDescent="0.2">
      <c r="A106" s="9" t="s">
        <v>138</v>
      </c>
      <c r="C106" s="1"/>
      <c r="D106" s="37"/>
      <c r="E106" s="73"/>
      <c r="F106" s="37"/>
      <c r="G106" s="37"/>
      <c r="H106" s="37"/>
      <c r="I106" s="37"/>
      <c r="L106" s="76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73"/>
      <c r="F107" s="38">
        <f>+IF(D107&gt;$D$19,Datos!$B$15,IF(Datos!$B$15/$D$19*D107&lt;Datos!$C$15,Datos!$C$15,Datos!$B$15/$D$19*D107))</f>
        <v>529856</v>
      </c>
      <c r="G107" s="38"/>
      <c r="H107" s="38"/>
      <c r="I107" s="38"/>
      <c r="L107" s="76"/>
    </row>
    <row r="108" spans="1:13" x14ac:dyDescent="0.2">
      <c r="A108" s="9" t="s">
        <v>140</v>
      </c>
      <c r="C108" s="1"/>
      <c r="D108" s="37"/>
      <c r="E108" s="73"/>
      <c r="F108" s="37"/>
      <c r="G108" s="37"/>
      <c r="H108" s="37"/>
      <c r="I108" s="37"/>
      <c r="L108" s="76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73"/>
      <c r="F109" s="37">
        <f>+IF(D109&gt;$D$19,Datos!$B$15,IF(Datos!$B$15/$D$19*D109&lt;Datos!$C$15,Datos!$C$15,Datos!$B$15/$D$19*D109))</f>
        <v>529856</v>
      </c>
      <c r="G109" s="37">
        <f>+IF(D109&gt;$D$19,Datos!$B$3,IF(Datos!$B$3/$D$19*D109&lt;Datos!$C$3,Datos!$C$3,Datos!$B$3/$D$19*D109))</f>
        <v>188317</v>
      </c>
      <c r="H109" s="37">
        <f>+IF($D109&gt;$D$19,Datos!$B$6,IF(Datos!$B$6/$D$19*$D109&lt;Datos!$C$6,Datos!$C$6,Datos!$B$6/$D$19*$D109))</f>
        <v>121892</v>
      </c>
      <c r="I109" s="37">
        <f>+IF($D109&gt;$D$19,Datos!$B$9,IF(Datos!$B$9/$D$19*$D109&lt;Datos!$C$9,Datos!$C$9,Datos!$B$9/$D$19*$D109))</f>
        <v>151040</v>
      </c>
      <c r="J109" s="30">
        <v>1</v>
      </c>
      <c r="K109" s="30">
        <v>1</v>
      </c>
      <c r="L109" s="76">
        <f>+IF(D109&lt;$D$19,Datos!$B$29/$D$19*D109,Datos!$B$29)</f>
        <v>30000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73"/>
      <c r="F110" s="37">
        <f>+IF(D110&gt;$D$19,Datos!$B$15,IF(Datos!$B$15/$D$19*D110&lt;Datos!$C$15,Datos!$C$15,Datos!$B$15/$D$19*D110))</f>
        <v>529856</v>
      </c>
      <c r="G110" s="37">
        <f>+IF(D110&gt;$D$19,Datos!$B$3,IF(Datos!$B$3/$D$19*D110&lt;Datos!$C$3,Datos!$C$3,Datos!$B$3/$D$19*D110))</f>
        <v>188317</v>
      </c>
      <c r="H110" s="37">
        <f>+IF($D110&gt;$D$19,Datos!$B$6,IF(Datos!$B$6/$D$19*$D110&lt;Datos!$C$6,Datos!$C$6,Datos!$B$6/$D$19*$D110))</f>
        <v>121892</v>
      </c>
      <c r="I110" s="37">
        <f>+IF($D110&gt;$D$19,Datos!$B$9,IF(Datos!$B$9/$D$19*$D110&lt;Datos!$C$9,Datos!$C$9,Datos!$B$9/$D$19*$D110))</f>
        <v>151040</v>
      </c>
      <c r="J110" s="30">
        <v>1</v>
      </c>
      <c r="L110" s="76">
        <f>+IF(D110&lt;$D$19,Datos!$B$29/$D$19*D110,Datos!$B$29)</f>
        <v>30000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73"/>
      <c r="F111" s="37">
        <f>+IF(D111&gt;$D$19,Datos!$B$15,IF(Datos!$B$15/$D$19*D111&lt;Datos!$C$15,Datos!$C$15,Datos!$B$15/$D$19*D111))</f>
        <v>529856</v>
      </c>
      <c r="G111" s="37">
        <f>+IF(D111&gt;$D$19,Datos!$B$3,IF(Datos!$B$3/$D$19*D111&lt;Datos!$C$3,Datos!$C$3,Datos!$B$3/$D$19*D111))</f>
        <v>188317</v>
      </c>
      <c r="H111" s="37">
        <f>+IF($D111&gt;$D$19,Datos!$B$6,IF(Datos!$B$6/$D$19*$D111&lt;Datos!$C$6,Datos!$C$6,Datos!$B$6/$D$19*$D111))</f>
        <v>121892</v>
      </c>
      <c r="I111" s="37">
        <f>+IF($D111&gt;$D$19,Datos!$B$9,IF(Datos!$B$9/$D$19*$D111&lt;Datos!$C$9,Datos!$C$9,Datos!$B$9/$D$19*$D111))</f>
        <v>151040</v>
      </c>
      <c r="L111" s="76">
        <f>+IF(D111&lt;$D$19,Datos!$B$29/$D$19*D111,Datos!$B$29)</f>
        <v>30000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73"/>
      <c r="F112" s="37">
        <f>+IF(D112&gt;$D$19,Datos!$B$15,IF(Datos!$B$15/$D$19*D112&lt;Datos!$C$15,Datos!$C$15,Datos!$B$15/$D$19*D112))</f>
        <v>459364.14</v>
      </c>
      <c r="G112" s="37">
        <f>+IF(D112&gt;$D$19,Datos!$B$3,IF(Datos!$B$3/$D$19*D112&lt;Datos!$C$3,Datos!$C$3,Datos!$B$3/$D$19*D112))</f>
        <v>179369</v>
      </c>
      <c r="H112" s="37">
        <f>+IF($D112&gt;$D$19,Datos!$B$6,IF(Datos!$B$6/$D$19*$D112&lt;Datos!$C$6,Datos!$C$6,Datos!$B$6/$D$19*$D112))</f>
        <v>116963</v>
      </c>
      <c r="I112" s="37">
        <f>+IF($D112&gt;$D$19,Datos!$B$9,IF(Datos!$B$9/$D$19*$D112&lt;Datos!$C$9,Datos!$C$9,Datos!$B$9/$D$19*$D112))</f>
        <v>144942</v>
      </c>
      <c r="L112" s="76">
        <f>+IF(D112&lt;$D$19,Datos!$B$29/$D$19*D112,Datos!$B$29)</f>
        <v>26008.81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73"/>
      <c r="F113" s="37">
        <f>+IF(D113&gt;$D$19,Datos!$B$15,IF(Datos!$B$15/$D$19*D113&lt;Datos!$C$15,Datos!$C$15,Datos!$B$15/$D$19*D113))</f>
        <v>385137.62</v>
      </c>
      <c r="G113" s="37">
        <f>+IF(D113&gt;$D$19,Datos!$B$3,IF(Datos!$B$3/$D$19*D113&lt;Datos!$C$3,Datos!$C$3,Datos!$B$3/$D$19*D113))</f>
        <v>179369</v>
      </c>
      <c r="H113" s="37">
        <f>+IF($D113&gt;$D$19,Datos!$B$6,IF(Datos!$B$6/$D$19*$D113&lt;Datos!$C$6,Datos!$C$6,Datos!$B$6/$D$19*$D113))</f>
        <v>116963</v>
      </c>
      <c r="I113" s="37">
        <f>+IF($D113&gt;$D$19,Datos!$B$9,IF(Datos!$B$9/$D$19*$D113&lt;Datos!$C$9,Datos!$C$9,Datos!$B$9/$D$19*$D113))</f>
        <v>144942</v>
      </c>
      <c r="L113" s="76">
        <f>+IF(D113&lt;$D$19,Datos!$B$29/$D$19*D113,Datos!$B$29)</f>
        <v>21806.17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73"/>
      <c r="F114" s="37">
        <f>+IF(D114&gt;$D$19,Datos!$B$15,IF(Datos!$B$15/$D$19*D114&lt;Datos!$C$15,Datos!$C$15,Datos!$B$15/$D$19*D114))</f>
        <v>529856</v>
      </c>
      <c r="G114" s="37">
        <f>+IF(D114&gt;$D$19,Datos!$B$3,IF(Datos!$B$3/$D$19*D114&lt;Datos!$C$3,Datos!$C$3,Datos!$B$3/$D$19*D114))</f>
        <v>188317</v>
      </c>
      <c r="H114" s="37">
        <f>+IF($D114&gt;$D$19,Datos!$B$6,IF(Datos!$B$6/$D$19*$D114&lt;Datos!$C$6,Datos!$C$6,Datos!$B$6/$D$19*$D114))</f>
        <v>121892</v>
      </c>
      <c r="I114" s="37">
        <f>+IF($D114&gt;$D$19,Datos!$B$9,IF(Datos!$B$9/$D$19*$D114&lt;Datos!$C$9,Datos!$C$9,Datos!$B$9/$D$19*$D114))</f>
        <v>151040</v>
      </c>
      <c r="L114" s="76">
        <f>+IF(D114&lt;$D$19,Datos!$B$29/$D$19*D114,Datos!$B$29)</f>
        <v>30000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73"/>
      <c r="F115" s="37">
        <f>+IF(D115&gt;$D$19,Datos!$B$15,IF(Datos!$B$15/$D$19*D115&lt;Datos!$C$15,Datos!$C$15,Datos!$B$15/$D$19*D115))</f>
        <v>444425.47</v>
      </c>
      <c r="G115" s="37">
        <f>+IF(D115&gt;$D$19,Datos!$B$3,IF(Datos!$B$3/$D$19*D115&lt;Datos!$C$3,Datos!$C$3,Datos!$B$3/$D$19*D115))</f>
        <v>179369</v>
      </c>
      <c r="H115" s="37">
        <f>+IF($D115&gt;$D$19,Datos!$B$6,IF(Datos!$B$6/$D$19*$D115&lt;Datos!$C$6,Datos!$C$6,Datos!$B$6/$D$19*$D115))</f>
        <v>116963</v>
      </c>
      <c r="I115" s="37">
        <f>+IF($D115&gt;$D$19,Datos!$B$9,IF(Datos!$B$9/$D$19*$D115&lt;Datos!$C$9,Datos!$C$9,Datos!$B$9/$D$19*$D115))</f>
        <v>144942</v>
      </c>
      <c r="L115" s="76">
        <f>+IF(D115&lt;$D$19,Datos!$B$29/$D$19*D115,Datos!$B$29)</f>
        <v>25163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73"/>
      <c r="F116" s="37">
        <f>+IF(D116&gt;$D$19,Datos!$B$15,IF(Datos!$B$15/$D$19*D116&lt;Datos!$C$15,Datos!$C$15,Datos!$B$15/$D$19*D116))</f>
        <v>529856</v>
      </c>
      <c r="G116" s="37">
        <f>+IF(D116&gt;$D$19,Datos!$B$3,IF(Datos!$B$3/$D$19*D116&lt;Datos!$C$3,Datos!$C$3,Datos!$B$3/$D$19*D116))</f>
        <v>188317</v>
      </c>
      <c r="H116" s="37">
        <f>+IF($D116&gt;$D$19,Datos!$B$6,IF(Datos!$B$6/$D$19*$D116&lt;Datos!$C$6,Datos!$C$6,Datos!$B$6/$D$19*$D116))</f>
        <v>121892</v>
      </c>
      <c r="I116" s="37">
        <f>+IF($D116&gt;$D$19,Datos!$B$9,IF(Datos!$B$9/$D$19*$D116&lt;Datos!$C$9,Datos!$C$9,Datos!$B$9/$D$19*$D116))</f>
        <v>151040</v>
      </c>
      <c r="L116" s="76">
        <f>+IF(D116&lt;$D$19,Datos!$B$29/$D$19*D116,Datos!$B$29)</f>
        <v>30000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73"/>
      <c r="F117" s="37">
        <f>+IF(D117&gt;$D$19,Datos!$B$15,IF(Datos!$B$15/$D$19*D117&lt;Datos!$C$15,Datos!$C$15,Datos!$B$15/$D$19*D117))</f>
        <v>385137.62</v>
      </c>
      <c r="G117" s="37">
        <f>+IF(D117&gt;$D$19,Datos!$B$3,IF(Datos!$B$3/$D$19*D117&lt;Datos!$C$3,Datos!$C$3,Datos!$B$3/$D$19*D117))</f>
        <v>179369</v>
      </c>
      <c r="H117" s="37">
        <f>+IF($D117&gt;$D$19,Datos!$B$6,IF(Datos!$B$6/$D$19*$D117&lt;Datos!$C$6,Datos!$C$6,Datos!$B$6/$D$19*$D117))</f>
        <v>116963</v>
      </c>
      <c r="I117" s="37">
        <f>+IF($D117&gt;$D$19,Datos!$B$9,IF(Datos!$B$9/$D$19*$D117&lt;Datos!$C$9,Datos!$C$9,Datos!$B$9/$D$19*$D117))</f>
        <v>144942</v>
      </c>
      <c r="L117" s="76">
        <f>+IF(D117&lt;$D$19,Datos!$B$29/$D$19*D117,Datos!$B$29)</f>
        <v>21806.17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73"/>
      <c r="F118" s="37">
        <f>+IF(D118&gt;$D$19,Datos!$B$15,IF(Datos!$B$15/$D$19*D118&lt;Datos!$C$15,Datos!$C$15,Datos!$B$15/$D$19*D118))</f>
        <v>385137.62</v>
      </c>
      <c r="G118" s="37">
        <f>+IF(D118&gt;$D$19,Datos!$B$3,IF(Datos!$B$3/$D$19*D118&lt;Datos!$C$3,Datos!$C$3,Datos!$B$3/$D$19*D118))</f>
        <v>179369</v>
      </c>
      <c r="H118" s="37">
        <f>+IF($D118&gt;$D$19,Datos!$B$6,IF(Datos!$B$6/$D$19*$D118&lt;Datos!$C$6,Datos!$C$6,Datos!$B$6/$D$19*$D118))</f>
        <v>116963</v>
      </c>
      <c r="I118" s="37">
        <f>+IF($D118&gt;$D$19,Datos!$B$9,IF(Datos!$B$9/$D$19*$D118&lt;Datos!$C$9,Datos!$C$9,Datos!$B$9/$D$19*$D118))</f>
        <v>144942</v>
      </c>
      <c r="L118" s="76">
        <f>+IF(D118&lt;$D$19,Datos!$B$29/$D$19*D118,Datos!$B$29)</f>
        <v>21806.17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73"/>
      <c r="F119" s="37">
        <f>Datos!$B$15/20</f>
        <v>26492.799999999999</v>
      </c>
      <c r="G119" s="37">
        <f>Datos!$B$5</f>
        <v>9911.42</v>
      </c>
      <c r="H119" s="37">
        <f>Datos!$B$8</f>
        <v>6415.37</v>
      </c>
      <c r="I119" s="37">
        <f>Datos!$B$11</f>
        <v>7949.47</v>
      </c>
      <c r="L119" s="76">
        <f>Datos!$B$31</f>
        <v>1578.95</v>
      </c>
      <c r="M119" s="27"/>
    </row>
    <row r="120" spans="1:13" x14ac:dyDescent="0.2">
      <c r="A120" s="9" t="s">
        <v>148</v>
      </c>
      <c r="C120" s="1"/>
      <c r="D120" s="37"/>
      <c r="E120" s="73"/>
      <c r="F120" s="37"/>
      <c r="G120" s="37"/>
      <c r="H120" s="37"/>
      <c r="I120" s="37"/>
      <c r="L120" s="76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73"/>
      <c r="F121" s="38">
        <f>+IF(D121&gt;$D$19,Datos!$B$15,IF(Datos!$B$15/$D$19*D121&lt;Datos!$C$15,Datos!$C$15,Datos!$B$15/$D$19*D121))</f>
        <v>529856</v>
      </c>
      <c r="G121" s="38"/>
      <c r="H121" s="38"/>
      <c r="I121" s="38"/>
      <c r="J121" s="30">
        <v>1</v>
      </c>
      <c r="L121" s="76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73"/>
      <c r="F122" s="38">
        <f>+IF(D122&gt;$D$19,Datos!$B$15,IF(Datos!$B$15/$D$19*D122&lt;Datos!$C$15,Datos!$C$15,Datos!$B$15/$D$19*D122))</f>
        <v>529856</v>
      </c>
      <c r="G122" s="38"/>
      <c r="H122" s="38"/>
      <c r="I122" s="38"/>
      <c r="J122" s="30">
        <v>1</v>
      </c>
      <c r="L122" s="76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73"/>
      <c r="F123" s="38">
        <f>+IF(D123&gt;$D$19,Datos!$B$15,IF(Datos!$B$15/$D$19*D123&lt;Datos!$C$15,Datos!$C$15,Datos!$B$15/$D$19*D123))</f>
        <v>444425.47</v>
      </c>
      <c r="G123" s="38"/>
      <c r="H123" s="38"/>
      <c r="I123" s="38"/>
      <c r="L123" s="76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73"/>
      <c r="F124" s="38">
        <f>+IF(D124&gt;$D$19,Datos!$B$15,IF(Datos!$B$15/$D$19*D124&lt;Datos!$C$15,Datos!$C$15,Datos!$B$15/$D$19*D124))</f>
        <v>529856</v>
      </c>
      <c r="G124" s="38"/>
      <c r="H124" s="38"/>
      <c r="I124" s="38"/>
      <c r="L124" s="76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88"/>
  <sheetViews>
    <sheetView zoomScale="115" workbookViewId="0"/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113" t="s">
        <v>21</v>
      </c>
      <c r="B1" s="113" t="s">
        <v>22</v>
      </c>
      <c r="C1" s="113" t="s">
        <v>188</v>
      </c>
      <c r="D1" s="113" t="s">
        <v>200</v>
      </c>
    </row>
    <row r="2" spans="1:4" ht="14.25" thickTop="1" thickBot="1" x14ac:dyDescent="0.25">
      <c r="A2" s="87" t="s">
        <v>17</v>
      </c>
      <c r="B2" s="118">
        <v>139.4701</v>
      </c>
      <c r="C2" s="88"/>
      <c r="D2" s="88"/>
    </row>
    <row r="3" spans="1:4" x14ac:dyDescent="0.2">
      <c r="A3" s="89" t="s">
        <v>23</v>
      </c>
      <c r="B3" s="90">
        <v>188317</v>
      </c>
      <c r="C3" s="91">
        <v>179369</v>
      </c>
      <c r="D3" s="92" t="s">
        <v>201</v>
      </c>
    </row>
    <row r="4" spans="1:4" x14ac:dyDescent="0.2">
      <c r="A4" s="93" t="s">
        <v>24</v>
      </c>
      <c r="B4" s="2">
        <f>+B3*2</f>
        <v>376634</v>
      </c>
      <c r="C4" s="2">
        <f>+C3*2</f>
        <v>358738</v>
      </c>
      <c r="D4" s="94"/>
    </row>
    <row r="5" spans="1:4" ht="13.5" thickBot="1" x14ac:dyDescent="0.25">
      <c r="A5" s="95" t="s">
        <v>25</v>
      </c>
      <c r="B5" s="96">
        <f>+B3/19</f>
        <v>9911.42</v>
      </c>
      <c r="C5" s="97"/>
      <c r="D5" s="98" t="s">
        <v>202</v>
      </c>
    </row>
    <row r="6" spans="1:4" x14ac:dyDescent="0.2">
      <c r="A6" s="89" t="s">
        <v>191</v>
      </c>
      <c r="B6" s="91">
        <v>121892</v>
      </c>
      <c r="C6" s="91">
        <v>116963</v>
      </c>
      <c r="D6" s="92" t="s">
        <v>201</v>
      </c>
    </row>
    <row r="7" spans="1:4" x14ac:dyDescent="0.2">
      <c r="A7" s="93" t="s">
        <v>192</v>
      </c>
      <c r="B7" s="2">
        <f>+B6*2</f>
        <v>243784</v>
      </c>
      <c r="C7" s="84">
        <f>+C6*2</f>
        <v>233926</v>
      </c>
      <c r="D7" s="94"/>
    </row>
    <row r="8" spans="1:4" ht="13.5" thickBot="1" x14ac:dyDescent="0.25">
      <c r="A8" s="95" t="s">
        <v>193</v>
      </c>
      <c r="B8" s="96">
        <f>+B6/19</f>
        <v>6415.37</v>
      </c>
      <c r="C8" s="97"/>
      <c r="D8" s="98" t="s">
        <v>202</v>
      </c>
    </row>
    <row r="9" spans="1:4" x14ac:dyDescent="0.2">
      <c r="A9" s="89" t="s">
        <v>194</v>
      </c>
      <c r="B9" s="91">
        <v>151040</v>
      </c>
      <c r="C9" s="90">
        <v>144942</v>
      </c>
      <c r="D9" s="92" t="s">
        <v>201</v>
      </c>
    </row>
    <row r="10" spans="1:4" x14ac:dyDescent="0.2">
      <c r="A10" s="93" t="s">
        <v>195</v>
      </c>
      <c r="B10" s="2">
        <f>+B9*2</f>
        <v>302080</v>
      </c>
      <c r="C10" s="2">
        <f>+C9*2</f>
        <v>289884</v>
      </c>
      <c r="D10" s="94"/>
    </row>
    <row r="11" spans="1:4" ht="13.5" thickBot="1" x14ac:dyDescent="0.25">
      <c r="A11" s="95" t="s">
        <v>196</v>
      </c>
      <c r="B11" s="96">
        <f>+B9/19</f>
        <v>7949.47</v>
      </c>
      <c r="C11" s="97"/>
      <c r="D11" s="98" t="s">
        <v>202</v>
      </c>
    </row>
    <row r="12" spans="1:4" x14ac:dyDescent="0.2">
      <c r="A12" s="89" t="s">
        <v>197</v>
      </c>
      <c r="B12" s="90">
        <v>0</v>
      </c>
      <c r="C12" s="101"/>
      <c r="D12" s="92" t="s">
        <v>201</v>
      </c>
    </row>
    <row r="13" spans="1:4" x14ac:dyDescent="0.2">
      <c r="A13" s="93" t="s">
        <v>198</v>
      </c>
      <c r="B13" s="2">
        <v>0</v>
      </c>
      <c r="C13" s="102"/>
      <c r="D13" s="94"/>
    </row>
    <row r="14" spans="1:4" ht="13.5" thickBot="1" x14ac:dyDescent="0.25">
      <c r="A14" s="95" t="s">
        <v>199</v>
      </c>
      <c r="B14" s="100">
        <v>0</v>
      </c>
      <c r="C14" s="100">
        <f>ROUNDUP(B12/12,4)</f>
        <v>0</v>
      </c>
      <c r="D14" s="98" t="s">
        <v>203</v>
      </c>
    </row>
    <row r="15" spans="1:4" x14ac:dyDescent="0.2">
      <c r="A15" s="103" t="s">
        <v>204</v>
      </c>
      <c r="B15" s="90">
        <v>529856</v>
      </c>
      <c r="C15" s="104">
        <v>338007</v>
      </c>
      <c r="D15" s="92"/>
    </row>
    <row r="16" spans="1:4" x14ac:dyDescent="0.2">
      <c r="A16" s="105" t="s">
        <v>205</v>
      </c>
      <c r="B16" s="2">
        <f>+B15*2</f>
        <v>1059712</v>
      </c>
      <c r="C16" s="83">
        <v>857066</v>
      </c>
      <c r="D16" s="94"/>
    </row>
    <row r="17" spans="1:4" ht="13.5" thickBot="1" x14ac:dyDescent="0.25">
      <c r="A17" s="106" t="s">
        <v>206</v>
      </c>
      <c r="B17" s="96">
        <f>+B15/20</f>
        <v>26492.799999999999</v>
      </c>
      <c r="C17" s="107"/>
      <c r="D17" s="98"/>
    </row>
    <row r="18" spans="1:4" ht="13.5" thickBot="1" x14ac:dyDescent="0.25">
      <c r="A18" s="87"/>
      <c r="B18" s="108"/>
      <c r="D18" s="30"/>
    </row>
    <row r="19" spans="1:4" x14ac:dyDescent="0.2">
      <c r="A19" s="89" t="s">
        <v>18</v>
      </c>
      <c r="B19" s="90">
        <v>0</v>
      </c>
      <c r="C19" s="101"/>
      <c r="D19" s="92" t="s">
        <v>201</v>
      </c>
    </row>
    <row r="20" spans="1:4" x14ac:dyDescent="0.2">
      <c r="A20" s="93" t="s">
        <v>19</v>
      </c>
      <c r="B20" s="2">
        <f>+B19*2</f>
        <v>0</v>
      </c>
      <c r="C20" s="102"/>
      <c r="D20" s="94"/>
    </row>
    <row r="21" spans="1:4" ht="13.5" thickBot="1" x14ac:dyDescent="0.25">
      <c r="A21" s="95" t="s">
        <v>20</v>
      </c>
      <c r="B21" s="96">
        <f>+B19/15</f>
        <v>0</v>
      </c>
      <c r="C21" s="96">
        <f>+B19/12</f>
        <v>0</v>
      </c>
      <c r="D21" s="98" t="s">
        <v>203</v>
      </c>
    </row>
    <row r="22" spans="1:4" ht="13.5" thickBot="1" x14ac:dyDescent="0.25">
      <c r="A22" s="89" t="s">
        <v>228</v>
      </c>
      <c r="B22" s="90">
        <v>0</v>
      </c>
      <c r="C22" s="101"/>
      <c r="D22" s="92" t="s">
        <v>201</v>
      </c>
    </row>
    <row r="23" spans="1:4" ht="13.5" thickBot="1" x14ac:dyDescent="0.25">
      <c r="A23" s="89" t="s">
        <v>229</v>
      </c>
      <c r="B23" s="2">
        <f>+B22*2</f>
        <v>0</v>
      </c>
      <c r="C23" s="102"/>
      <c r="D23" s="94"/>
    </row>
    <row r="24" spans="1:4" ht="13.5" thickBot="1" x14ac:dyDescent="0.25">
      <c r="A24" s="89" t="s">
        <v>230</v>
      </c>
      <c r="B24" s="100">
        <f>+B22/15</f>
        <v>0</v>
      </c>
      <c r="C24" s="100">
        <f>+B22/12</f>
        <v>0</v>
      </c>
      <c r="D24" s="98" t="s">
        <v>203</v>
      </c>
    </row>
    <row r="25" spans="1:4" x14ac:dyDescent="0.2">
      <c r="A25" s="89" t="s">
        <v>218</v>
      </c>
      <c r="B25" s="109">
        <v>38500</v>
      </c>
      <c r="C25" s="110"/>
      <c r="D25" s="92" t="s">
        <v>201</v>
      </c>
    </row>
    <row r="26" spans="1:4" x14ac:dyDescent="0.2">
      <c r="A26" s="93" t="s">
        <v>219</v>
      </c>
      <c r="B26" s="77">
        <f>B25*2</f>
        <v>77000</v>
      </c>
      <c r="C26" s="111"/>
      <c r="D26" s="94"/>
    </row>
    <row r="27" spans="1:4" ht="13.5" thickBot="1" x14ac:dyDescent="0.25">
      <c r="A27" s="95" t="s">
        <v>220</v>
      </c>
      <c r="B27" s="115">
        <f>ROUNDUP(B26/30,4)</f>
        <v>2566.67</v>
      </c>
      <c r="C27" s="115">
        <f>ROUNDUP(B26/24,4)</f>
        <v>3208.33</v>
      </c>
      <c r="D27" s="98" t="s">
        <v>203</v>
      </c>
    </row>
    <row r="28" spans="1:4" x14ac:dyDescent="0.2">
      <c r="A28" s="3"/>
      <c r="B28" s="99"/>
      <c r="D28" s="30"/>
    </row>
    <row r="29" spans="1:4" x14ac:dyDescent="0.2">
      <c r="A29" s="1" t="s">
        <v>222</v>
      </c>
      <c r="B29" s="2">
        <v>30000</v>
      </c>
      <c r="D29" s="30" t="s">
        <v>226</v>
      </c>
    </row>
    <row r="30" spans="1:4" x14ac:dyDescent="0.2">
      <c r="A30" s="1" t="s">
        <v>223</v>
      </c>
      <c r="B30" s="2">
        <f>+B29*2</f>
        <v>60000</v>
      </c>
      <c r="D30" s="30"/>
    </row>
    <row r="31" spans="1:4" x14ac:dyDescent="0.2">
      <c r="A31" s="1" t="s">
        <v>224</v>
      </c>
      <c r="B31" s="2">
        <f>+B29/19</f>
        <v>1578.95</v>
      </c>
    </row>
    <row r="32" spans="1:4" x14ac:dyDescent="0.2">
      <c r="A32" s="74"/>
      <c r="B32" s="2"/>
      <c r="D32" s="78" t="s">
        <v>181</v>
      </c>
    </row>
    <row r="33" spans="1:8" x14ac:dyDescent="0.2">
      <c r="A33" s="3"/>
      <c r="B33" s="2"/>
      <c r="D33" s="79">
        <v>0</v>
      </c>
    </row>
    <row r="34" spans="1:8" x14ac:dyDescent="0.2">
      <c r="A34" s="85" t="s">
        <v>114</v>
      </c>
      <c r="B34" s="86">
        <v>23.5</v>
      </c>
      <c r="D34" s="79">
        <v>0</v>
      </c>
    </row>
    <row r="35" spans="1:8" x14ac:dyDescent="0.2">
      <c r="A35" s="85" t="s">
        <v>115</v>
      </c>
      <c r="B35" s="86">
        <v>19</v>
      </c>
      <c r="C35" s="39"/>
      <c r="D35" s="80">
        <f>+D33/19</f>
        <v>0</v>
      </c>
    </row>
    <row r="36" spans="1:8" x14ac:dyDescent="0.2">
      <c r="A36" s="85" t="s">
        <v>232</v>
      </c>
      <c r="B36" s="123">
        <v>2467787.04</v>
      </c>
      <c r="C36" s="119"/>
      <c r="E36" s="122" t="s">
        <v>233</v>
      </c>
      <c r="F36" s="122"/>
      <c r="G36" s="122"/>
      <c r="H36" s="122"/>
    </row>
    <row r="38" spans="1:8" ht="15.75" thickBot="1" x14ac:dyDescent="0.3">
      <c r="A38" s="112" t="s">
        <v>26</v>
      </c>
    </row>
    <row r="39" spans="1:8" ht="13.5" thickTop="1" x14ac:dyDescent="0.2">
      <c r="A39" s="3" t="s">
        <v>207</v>
      </c>
    </row>
    <row r="40" spans="1:8" x14ac:dyDescent="0.2">
      <c r="A40" s="1" t="s">
        <v>164</v>
      </c>
    </row>
    <row r="41" spans="1:8" x14ac:dyDescent="0.2">
      <c r="A41" s="44" t="s">
        <v>234</v>
      </c>
    </row>
    <row r="42" spans="1:8" x14ac:dyDescent="0.2">
      <c r="A42" s="44" t="s">
        <v>221</v>
      </c>
    </row>
    <row r="43" spans="1:8" x14ac:dyDescent="0.2">
      <c r="A43" s="44" t="s">
        <v>231</v>
      </c>
    </row>
    <row r="44" spans="1:8" x14ac:dyDescent="0.2">
      <c r="A44" s="44" t="s">
        <v>209</v>
      </c>
    </row>
    <row r="45" spans="1:8" x14ac:dyDescent="0.2">
      <c r="A45" s="44" t="s">
        <v>208</v>
      </c>
    </row>
    <row r="46" spans="1:8" x14ac:dyDescent="0.2">
      <c r="A46" s="44" t="s">
        <v>227</v>
      </c>
    </row>
    <row r="48" spans="1:8" ht="15.75" thickBot="1" x14ac:dyDescent="0.3">
      <c r="A48" s="112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114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112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64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40"/>
  <sheetViews>
    <sheetView showGridLines="0" showZeros="0" tabSelected="1" zoomScale="85" zoomScaleNormal="85" zoomScaleSheetLayoutView="100" workbookViewId="0">
      <selection activeCell="E6" sqref="E6:H6"/>
    </sheetView>
  </sheetViews>
  <sheetFormatPr baseColWidth="10" defaultColWidth="11.42578125" defaultRowHeight="15.75" x14ac:dyDescent="0.25"/>
  <cols>
    <col min="1" max="1" width="31.5703125" style="17" customWidth="1"/>
    <col min="2" max="12" width="15.7109375" style="17" bestFit="1" customWidth="1"/>
    <col min="13" max="16384" width="11.42578125" style="17"/>
  </cols>
  <sheetData>
    <row r="1" spans="1:12" ht="99.75" customHeight="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3" customHeight="1" x14ac:dyDescent="0.4">
      <c r="A2" s="146"/>
      <c r="B2" s="146"/>
      <c r="C2" s="42"/>
      <c r="D2" s="40"/>
      <c r="G2" s="41"/>
      <c r="H2" s="147"/>
      <c r="I2" s="147"/>
      <c r="J2" s="147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48" t="str">
        <f>+Datos!A41</f>
        <v>AGOSTO 2024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42" t="s">
        <v>36</v>
      </c>
      <c r="C6" s="142"/>
      <c r="D6" s="142"/>
      <c r="E6" s="144" t="s">
        <v>30</v>
      </c>
      <c r="F6" s="144"/>
      <c r="G6" s="144"/>
      <c r="H6" s="144"/>
      <c r="I6" s="46"/>
      <c r="J6" s="143"/>
      <c r="K6" s="143"/>
      <c r="L6" s="47"/>
    </row>
    <row r="7" spans="1:12" s="19" customFormat="1" ht="20.100000000000001" customHeight="1" x14ac:dyDescent="0.3">
      <c r="A7" s="45"/>
      <c r="B7" s="142" t="s">
        <v>37</v>
      </c>
      <c r="C7" s="142"/>
      <c r="D7" s="142"/>
      <c r="E7" s="145" t="s">
        <v>49</v>
      </c>
      <c r="F7" s="145"/>
      <c r="G7" s="145"/>
      <c r="H7" s="145"/>
      <c r="I7" s="45"/>
      <c r="J7" s="45"/>
      <c r="K7" s="45"/>
      <c r="L7" s="47"/>
    </row>
    <row r="8" spans="1:12" s="19" customFormat="1" ht="20.100000000000001" customHeight="1" x14ac:dyDescent="0.3">
      <c r="A8" s="60"/>
      <c r="B8" s="142" t="s">
        <v>211</v>
      </c>
      <c r="C8" s="142"/>
      <c r="D8" s="142"/>
      <c r="E8" s="145" t="s">
        <v>111</v>
      </c>
      <c r="F8" s="145"/>
      <c r="G8" s="145"/>
      <c r="H8" s="145"/>
      <c r="I8" s="45"/>
      <c r="J8" s="45"/>
      <c r="K8" s="45"/>
      <c r="L8" s="47"/>
    </row>
    <row r="9" spans="1:12" s="19" customFormat="1" ht="20.100000000000001" customHeight="1" x14ac:dyDescent="0.3">
      <c r="A9" s="60"/>
      <c r="B9" s="142" t="s">
        <v>169</v>
      </c>
      <c r="C9" s="142"/>
      <c r="D9" s="142"/>
      <c r="E9" s="144" t="s">
        <v>112</v>
      </c>
      <c r="F9" s="144"/>
      <c r="G9" s="144"/>
      <c r="H9" s="144"/>
      <c r="I9" s="45"/>
      <c r="J9" s="45"/>
      <c r="K9" s="45"/>
      <c r="L9" s="47"/>
    </row>
    <row r="10" spans="1:12" s="19" customFormat="1" ht="20.100000000000001" customHeight="1" x14ac:dyDescent="0.3">
      <c r="A10" s="60"/>
      <c r="B10" s="142" t="s">
        <v>170</v>
      </c>
      <c r="C10" s="142"/>
      <c r="D10" s="142"/>
      <c r="E10" s="145">
        <v>1</v>
      </c>
      <c r="F10" s="145"/>
      <c r="G10" s="145"/>
      <c r="H10" s="145"/>
      <c r="I10" s="45"/>
      <c r="J10" s="45"/>
      <c r="K10" s="45"/>
      <c r="L10" s="47"/>
    </row>
    <row r="11" spans="1:12" s="19" customFormat="1" ht="19.5" customHeight="1" x14ac:dyDescent="0.3">
      <c r="A11" s="60"/>
      <c r="B11" s="142" t="s">
        <v>177</v>
      </c>
      <c r="C11" s="142"/>
      <c r="D11" s="142"/>
      <c r="E11" s="144">
        <v>6</v>
      </c>
      <c r="F11" s="144"/>
      <c r="G11" s="144"/>
      <c r="H11" s="144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53" t="s">
        <v>172</v>
      </c>
      <c r="C13" s="153"/>
      <c r="D13" s="153"/>
      <c r="E13" s="152">
        <f>+VLOOKUP($E$7,Indices!$A$1:$D$503,4,FALSE)</f>
        <v>1135</v>
      </c>
      <c r="F13" s="152"/>
      <c r="G13" s="152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53" t="s">
        <v>119</v>
      </c>
      <c r="C14" s="153"/>
      <c r="D14" s="153"/>
      <c r="E14" s="151">
        <f>+VLOOKUP($E$7,Indices!$A$1:$C$503,2,FALSE)</f>
        <v>845</v>
      </c>
      <c r="F14" s="151"/>
      <c r="G14" s="151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53" t="s">
        <v>151</v>
      </c>
      <c r="C15" s="153"/>
      <c r="D15" s="153"/>
      <c r="E15" s="154">
        <f>+Datos!B2</f>
        <v>139.4701</v>
      </c>
      <c r="F15" s="154"/>
      <c r="G15" s="154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53" t="s">
        <v>16</v>
      </c>
      <c r="C16" s="153"/>
      <c r="D16" s="153"/>
      <c r="E16" s="151">
        <f>+IF(E9="SI",2+IF(E8="SI",Datos!B34,Datos!B35),IF(E8="SI",Datos!B34,Datos!B35))</f>
        <v>23.5</v>
      </c>
      <c r="F16" s="151"/>
      <c r="G16" s="151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53" t="s">
        <v>232</v>
      </c>
      <c r="C17" s="153"/>
      <c r="D17" s="153"/>
      <c r="E17" s="152">
        <f>+Datos!B36</f>
        <v>2467787.04</v>
      </c>
      <c r="F17" s="152"/>
      <c r="G17" s="152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68">
        <v>0.3</v>
      </c>
      <c r="D20" s="68">
        <v>0.4</v>
      </c>
      <c r="E20" s="68">
        <v>0.5</v>
      </c>
      <c r="F20" s="68">
        <v>0.6</v>
      </c>
      <c r="G20" s="68">
        <v>0.7</v>
      </c>
      <c r="H20" s="68">
        <v>0.8</v>
      </c>
      <c r="I20" s="69">
        <v>0.9</v>
      </c>
      <c r="J20" s="69">
        <v>1</v>
      </c>
      <c r="K20" s="69">
        <v>1.1000000000000001</v>
      </c>
      <c r="L20" s="70">
        <v>1.2</v>
      </c>
    </row>
    <row r="21" spans="1:13" s="19" customFormat="1" ht="16.5" x14ac:dyDescent="0.3">
      <c r="A21" s="61" t="s">
        <v>168</v>
      </c>
      <c r="B21" s="124">
        <f>IF(CODE($E$7)=72,$E$10*$E$13*Datos!$B$2,$E$13*Datos!$B$2)</f>
        <v>158298.56</v>
      </c>
      <c r="C21" s="125">
        <f>IF(CODE($E$7)=72,$E$10*$E$13*Datos!$B$2,$E$13*Datos!$B$2)</f>
        <v>158298.56</v>
      </c>
      <c r="D21" s="125">
        <f>IF(CODE($E$7)=72,$E$10*$E$13*Datos!$B$2,$E$13*Datos!$B$2)</f>
        <v>158298.56</v>
      </c>
      <c r="E21" s="125">
        <f>IF(CODE($E$7)=72,$E$10*$E$13*Datos!$B$2,$E$13*Datos!$B$2)</f>
        <v>158298.56</v>
      </c>
      <c r="F21" s="125">
        <f>IF(CODE($E$7)=72,$E$10*$E$13*Datos!$B$2,$E$13*Datos!$B$2)</f>
        <v>158298.56</v>
      </c>
      <c r="G21" s="125">
        <f>IF(CODE($E$7)=72,$E$10*$E$13*Datos!$B$2,$E$13*Datos!$B$2)</f>
        <v>158298.56</v>
      </c>
      <c r="H21" s="125">
        <f>IF(CODE($E$7)=72,$E$10*$E$13*Datos!$B$2,$E$13*Datos!$B$2)</f>
        <v>158298.56</v>
      </c>
      <c r="I21" s="125">
        <f>IF(CODE($E$7)=72,$E$10*$E$13*Datos!$B$2,$E$13*Datos!$B$2)</f>
        <v>158298.56</v>
      </c>
      <c r="J21" s="125">
        <f>IF(CODE($E$7)=72,$E$10*$E$13*Datos!$B$2,$E$13*Datos!$B$2)</f>
        <v>158298.56</v>
      </c>
      <c r="K21" s="125">
        <f>IF(CODE($E$7)=72,$E$10*$E$13*Datos!$B$2,$E$13*Datos!$B$2)</f>
        <v>158298.56</v>
      </c>
      <c r="L21" s="126">
        <f>IF(CODE($E$7)=72,$E$10*$E$13*Datos!$B$2,$E$13*Datos!$B$2)</f>
        <v>158298.56</v>
      </c>
    </row>
    <row r="22" spans="1:13" s="19" customFormat="1" ht="16.5" x14ac:dyDescent="0.3">
      <c r="A22" s="62">
        <f>IF(B22&gt;0,IF(OR(E14=6901,E14=6902,E14=6903,E14=6904,E14=6905,E14=6906),"Jerarquización Horizontal","Plus Difer. por Jerarquización"),0)</f>
        <v>0</v>
      </c>
      <c r="B22" s="124">
        <f>B21*0.15*VLOOKUP($E$14,Indices!$B$4:$K$211,9,FALSE)</f>
        <v>0</v>
      </c>
      <c r="C22" s="124">
        <f>C21*0.15*VLOOKUP($E$14,Indices!$B$4:$K$211,9,FALSE)</f>
        <v>0</v>
      </c>
      <c r="D22" s="124">
        <f>D21*0.15*VLOOKUP($E$14,Indices!$B$4:$K$211,9,FALSE)</f>
        <v>0</v>
      </c>
      <c r="E22" s="124">
        <f>E21*0.15*VLOOKUP($E$14,Indices!$B$4:$K$211,9,FALSE)</f>
        <v>0</v>
      </c>
      <c r="F22" s="124">
        <f>F21*0.15*VLOOKUP($E$14,Indices!$B$4:$K$211,9,FALSE)</f>
        <v>0</v>
      </c>
      <c r="G22" s="124">
        <f>G21*0.15*VLOOKUP($E$14,Indices!$B$4:$K$211,9,FALSE)</f>
        <v>0</v>
      </c>
      <c r="H22" s="124">
        <f>H21*0.15*VLOOKUP($E$14,Indices!$B$4:$K$211,9,FALSE)</f>
        <v>0</v>
      </c>
      <c r="I22" s="124">
        <f>I21*0.15*VLOOKUP($E$14,Indices!$B$4:$K$211,9,FALSE)</f>
        <v>0</v>
      </c>
      <c r="J22" s="124">
        <f>J21*0.15*VLOOKUP($E$14,Indices!$B$4:$K$211,9,FALSE)</f>
        <v>0</v>
      </c>
      <c r="K22" s="124">
        <f>K21*0.15*VLOOKUP($E$14,Indices!$B$4:$K$211,9,FALSE)</f>
        <v>0</v>
      </c>
      <c r="L22" s="124">
        <f>L21*0.15*VLOOKUP($E$14,Indices!$B$4:$K$211,9,FALSE)</f>
        <v>0</v>
      </c>
    </row>
    <row r="23" spans="1:13" s="19" customFormat="1" ht="16.5" x14ac:dyDescent="0.3">
      <c r="A23" s="61">
        <f>IF(B23&gt;0,"Plus Difer. por Establecimiento",0)</f>
        <v>0</v>
      </c>
      <c r="B23" s="124">
        <f>B21*$E$11/100*VLOOKUP($E$14,Indices!$B$4:$K$211,10,FALSE)</f>
        <v>0</v>
      </c>
      <c r="C23" s="124">
        <f>C21*$E$11/100*VLOOKUP($E$14,Indices!$B$4:$K$211,10,FALSE)</f>
        <v>0</v>
      </c>
      <c r="D23" s="124">
        <f>D21*$E$11/100*VLOOKUP($E$14,Indices!$B$4:$K$211,10,FALSE)</f>
        <v>0</v>
      </c>
      <c r="E23" s="124">
        <f>E21*$E$11/100*VLOOKUP($E$14,Indices!$B$4:$K$211,10,FALSE)</f>
        <v>0</v>
      </c>
      <c r="F23" s="124">
        <f>F21*$E$11/100*VLOOKUP($E$14,Indices!$B$4:$K$211,10,FALSE)</f>
        <v>0</v>
      </c>
      <c r="G23" s="124">
        <f>G21*$E$11/100*VLOOKUP($E$14,Indices!$B$4:$K$211,10,FALSE)</f>
        <v>0</v>
      </c>
      <c r="H23" s="124">
        <f>H21*$E$11/100*VLOOKUP($E$14,Indices!$B$4:$K$211,10,FALSE)</f>
        <v>0</v>
      </c>
      <c r="I23" s="124">
        <f>I21*$E$11/100*VLOOKUP($E$14,Indices!$B$4:$K$211,10,FALSE)</f>
        <v>0</v>
      </c>
      <c r="J23" s="124">
        <f>J21*$E$11/100*VLOOKUP($E$14,Indices!$B$4:$K$211,10,FALSE)</f>
        <v>0</v>
      </c>
      <c r="K23" s="124">
        <f>K21*$E$11/100*VLOOKUP($E$14,Indices!$B$4:$K$211,10,FALSE)</f>
        <v>0</v>
      </c>
      <c r="L23" s="124">
        <f>L21*$E$11/100*VLOOKUP($E$14,Indices!$B$4:$K$211,10,FALSE)</f>
        <v>0</v>
      </c>
    </row>
    <row r="24" spans="1:13" s="19" customFormat="1" ht="16.5" x14ac:dyDescent="0.3">
      <c r="A24" s="62" t="str">
        <f>+Datos!A39</f>
        <v>Decreto 483/05 y Modif.</v>
      </c>
      <c r="B24" s="124">
        <f>IF(CODE($E$7)=72,$E$10*Datos!$B$5,VLOOKUP($E$14,Indices!$B$3:$N$211,6,FALSE))</f>
        <v>188317</v>
      </c>
      <c r="C24" s="124">
        <f>IF(CODE($E$7)=72,$E$10*Datos!$B$5,VLOOKUP($E$14,Indices!$B$3:$N$211,6,FALSE))</f>
        <v>188317</v>
      </c>
      <c r="D24" s="124">
        <f>IF(CODE($E$7)=72,$E$10*Datos!$B$5,VLOOKUP($E$14,Indices!$B$3:$N$211,6,FALSE))</f>
        <v>188317</v>
      </c>
      <c r="E24" s="124">
        <f>IF(CODE($E$7)=72,$E$10*Datos!$B$5,VLOOKUP($E$14,Indices!$B$3:$N$211,6,FALSE))</f>
        <v>188317</v>
      </c>
      <c r="F24" s="124">
        <f>IF(CODE($E$7)=72,$E$10*Datos!$B$5,VLOOKUP($E$14,Indices!$B$3:$N$211,6,FALSE))</f>
        <v>188317</v>
      </c>
      <c r="G24" s="124">
        <f>IF(CODE($E$7)=72,$E$10*Datos!$B$5,VLOOKUP($E$14,Indices!$B$3:$N$211,6,FALSE))</f>
        <v>188317</v>
      </c>
      <c r="H24" s="124">
        <f>IF(CODE($E$7)=72,$E$10*Datos!$B$5,VLOOKUP($E$14,Indices!$B$3:$N$211,6,FALSE))</f>
        <v>188317</v>
      </c>
      <c r="I24" s="124">
        <f>IF(CODE($E$7)=72,$E$10*Datos!$B$5,VLOOKUP($E$14,Indices!$B$3:$N$211,6,FALSE))</f>
        <v>188317</v>
      </c>
      <c r="J24" s="124">
        <f>IF(CODE($E$7)=72,$E$10*Datos!$B$5,VLOOKUP($E$14,Indices!$B$3:$N$211,6,FALSE))</f>
        <v>188317</v>
      </c>
      <c r="K24" s="124">
        <f>IF(CODE($E$7)=72,$E$10*Datos!$B$5,VLOOKUP($E$14,Indices!$B$3:$N$211,6,FALSE))</f>
        <v>188317</v>
      </c>
      <c r="L24" s="124">
        <f>IF(CODE($E$7)=72,$E$10*Datos!$B$5,VLOOKUP($E$14,Indices!$B$3:$N$211,6,FALSE))</f>
        <v>188317</v>
      </c>
    </row>
    <row r="25" spans="1:13" s="19" customFormat="1" ht="16.5" x14ac:dyDescent="0.3">
      <c r="A25" s="61" t="s">
        <v>11</v>
      </c>
      <c r="B25" s="124">
        <f>SUM(B21:B24)*B20</f>
        <v>0</v>
      </c>
      <c r="C25" s="124">
        <f t="shared" ref="C25:L25" si="0">SUM(C21:C24)*C20</f>
        <v>103984.67</v>
      </c>
      <c r="D25" s="124">
        <f t="shared" si="0"/>
        <v>138646.22</v>
      </c>
      <c r="E25" s="124">
        <f t="shared" si="0"/>
        <v>173307.78</v>
      </c>
      <c r="F25" s="124">
        <f t="shared" si="0"/>
        <v>207969.34</v>
      </c>
      <c r="G25" s="124">
        <f t="shared" si="0"/>
        <v>242630.89</v>
      </c>
      <c r="H25" s="124">
        <f t="shared" si="0"/>
        <v>277292.45</v>
      </c>
      <c r="I25" s="124">
        <f t="shared" si="0"/>
        <v>311954</v>
      </c>
      <c r="J25" s="124">
        <f t="shared" si="0"/>
        <v>346615.56</v>
      </c>
      <c r="K25" s="124">
        <f t="shared" si="0"/>
        <v>381277.12</v>
      </c>
      <c r="L25" s="124">
        <f t="shared" si="0"/>
        <v>415938.67</v>
      </c>
    </row>
    <row r="26" spans="1:13" s="19" customFormat="1" ht="16.5" x14ac:dyDescent="0.3">
      <c r="A26" s="62" t="s">
        <v>150</v>
      </c>
      <c r="B26" s="124">
        <f>SUM(B21:B24)*10%</f>
        <v>34661.56</v>
      </c>
      <c r="C26" s="125">
        <f t="shared" ref="C26:L26" si="1">SUM(C21:C24)*10%</f>
        <v>34661.56</v>
      </c>
      <c r="D26" s="125">
        <f t="shared" si="1"/>
        <v>34661.56</v>
      </c>
      <c r="E26" s="125">
        <f t="shared" si="1"/>
        <v>34661.56</v>
      </c>
      <c r="F26" s="125">
        <f t="shared" si="1"/>
        <v>34661.56</v>
      </c>
      <c r="G26" s="125">
        <f t="shared" si="1"/>
        <v>34661.56</v>
      </c>
      <c r="H26" s="125">
        <f t="shared" si="1"/>
        <v>34661.56</v>
      </c>
      <c r="I26" s="125">
        <f t="shared" si="1"/>
        <v>34661.56</v>
      </c>
      <c r="J26" s="125">
        <f t="shared" si="1"/>
        <v>34661.56</v>
      </c>
      <c r="K26" s="125">
        <f t="shared" si="1"/>
        <v>34661.56</v>
      </c>
      <c r="L26" s="126">
        <f t="shared" si="1"/>
        <v>34661.56</v>
      </c>
    </row>
    <row r="27" spans="1:13" s="19" customFormat="1" ht="16.5" x14ac:dyDescent="0.3">
      <c r="A27" s="61">
        <f>IF(B27&gt;0,"Complemento Art. 128º",0)</f>
        <v>0</v>
      </c>
      <c r="B27" s="124">
        <f t="shared" ref="B27:L27" si="2">IF(ISERROR(FIND("Especial",$E$6,1))=FALSE,(B21+B22+B23+B24)*0.15,0)</f>
        <v>0</v>
      </c>
      <c r="C27" s="125">
        <f t="shared" si="2"/>
        <v>0</v>
      </c>
      <c r="D27" s="125">
        <f t="shared" si="2"/>
        <v>0</v>
      </c>
      <c r="E27" s="125">
        <f t="shared" si="2"/>
        <v>0</v>
      </c>
      <c r="F27" s="125">
        <f t="shared" si="2"/>
        <v>0</v>
      </c>
      <c r="G27" s="125">
        <f t="shared" si="2"/>
        <v>0</v>
      </c>
      <c r="H27" s="125">
        <f t="shared" si="2"/>
        <v>0</v>
      </c>
      <c r="I27" s="125">
        <f t="shared" si="2"/>
        <v>0</v>
      </c>
      <c r="J27" s="125">
        <f t="shared" si="2"/>
        <v>0</v>
      </c>
      <c r="K27" s="125">
        <f t="shared" si="2"/>
        <v>0</v>
      </c>
      <c r="L27" s="126">
        <f t="shared" si="2"/>
        <v>0</v>
      </c>
    </row>
    <row r="28" spans="1:13" s="19" customFormat="1" ht="16.5" x14ac:dyDescent="0.3">
      <c r="A28" s="62" t="str">
        <f>+Datos!A45</f>
        <v>Material Didáctico R</v>
      </c>
      <c r="B28" s="124"/>
      <c r="C28" s="125"/>
      <c r="D28" s="125"/>
      <c r="E28" s="125">
        <f>IF(CODE($E$7)=72,$E$10*Datos!$B$11,VLOOKUP($E$14,Indices!$B$3:$N$211,8,FALSE))</f>
        <v>151040</v>
      </c>
      <c r="F28" s="125">
        <f>IF(CODE($E$7)=72,$E$10*Datos!$B$11,VLOOKUP($E$14,Indices!$B$3:$N$211,8,FALSE))</f>
        <v>151040</v>
      </c>
      <c r="G28" s="125">
        <f>IF(CODE($E$7)=72,$E$10*Datos!$B$11,VLOOKUP($E$14,Indices!$B$3:$N$211,8,FALSE))</f>
        <v>151040</v>
      </c>
      <c r="H28" s="125">
        <f>IF(CODE($E$7)=72,$E$10*Datos!$B$11,VLOOKUP($E$14,Indices!$B$3:$N$211,8,FALSE))</f>
        <v>151040</v>
      </c>
      <c r="I28" s="125">
        <f>IF(CODE($E$7)=72,$E$10*Datos!$B$11,VLOOKUP($E$14,Indices!$B$3:$N$211,8,FALSE))</f>
        <v>151040</v>
      </c>
      <c r="J28" s="125">
        <f>IF(CODE($E$7)=72,$E$10*Datos!$B$11,VLOOKUP($E$14,Indices!$B$3:$N$211,8,FALSE))</f>
        <v>151040</v>
      </c>
      <c r="K28" s="125">
        <f>IF(CODE($E$7)=72,$E$10*Datos!$B$11,VLOOKUP($E$14,Indices!$B$3:$N$211,8,FALSE))</f>
        <v>151040</v>
      </c>
      <c r="L28" s="125">
        <f>IF(CODE($E$7)=72,$E$10*Datos!$B$11,VLOOKUP($E$14,Indices!$B$3:$N$211,8,FALSE))</f>
        <v>151040</v>
      </c>
    </row>
    <row r="29" spans="1:13" s="19" customFormat="1" ht="16.5" x14ac:dyDescent="0.3">
      <c r="A29" s="63" t="s">
        <v>12</v>
      </c>
      <c r="B29" s="127">
        <f t="shared" ref="B29:L29" si="3">SUM(B21:B28)</f>
        <v>381277.12</v>
      </c>
      <c r="C29" s="128">
        <f t="shared" si="3"/>
        <v>485261.79</v>
      </c>
      <c r="D29" s="128">
        <f t="shared" si="3"/>
        <v>519923.34</v>
      </c>
      <c r="E29" s="128">
        <f t="shared" si="3"/>
        <v>705624.9</v>
      </c>
      <c r="F29" s="128">
        <f t="shared" si="3"/>
        <v>740286.46</v>
      </c>
      <c r="G29" s="128">
        <f t="shared" si="3"/>
        <v>774948.01</v>
      </c>
      <c r="H29" s="128">
        <f t="shared" si="3"/>
        <v>809609.57</v>
      </c>
      <c r="I29" s="128">
        <f t="shared" si="3"/>
        <v>844271.12</v>
      </c>
      <c r="J29" s="128">
        <f t="shared" si="3"/>
        <v>878932.68</v>
      </c>
      <c r="K29" s="128">
        <f t="shared" si="3"/>
        <v>913594.24</v>
      </c>
      <c r="L29" s="129">
        <f t="shared" si="3"/>
        <v>948255.79</v>
      </c>
      <c r="M29" s="43"/>
    </row>
    <row r="30" spans="1:13" s="19" customFormat="1" ht="16.5" x14ac:dyDescent="0.3">
      <c r="A30" s="62" t="str">
        <f>+Datos!A44</f>
        <v>Material Didáctico</v>
      </c>
      <c r="B30" s="124">
        <f>IF(CODE($E$7)=72,$E$10*Datos!$B$8,VLOOKUP($E$14,Indices!$B$3:$N$211,7,FALSE))</f>
        <v>121892</v>
      </c>
      <c r="C30" s="124">
        <f>IF(CODE($E$7)=72,$E$10*Datos!$B$8,VLOOKUP($E$14,Indices!$B$3:$N$211,7,FALSE))</f>
        <v>121892</v>
      </c>
      <c r="D30" s="124">
        <f>IF(CODE($E$7)=72,$E$10*Datos!$B$8,VLOOKUP($E$14,Indices!$B$3:$N$211,7,FALSE))</f>
        <v>121892</v>
      </c>
      <c r="E30" s="124"/>
      <c r="F30" s="124"/>
      <c r="G30" s="125"/>
      <c r="H30" s="125"/>
      <c r="I30" s="125"/>
      <c r="J30" s="125"/>
      <c r="K30" s="125"/>
      <c r="L30" s="126"/>
    </row>
    <row r="31" spans="1:13" s="19" customFormat="1" ht="16.5" x14ac:dyDescent="0.3">
      <c r="A31" s="82" t="str">
        <f>+Datos!A40</f>
        <v>Comp. Mínimo Garantizado</v>
      </c>
      <c r="B31" s="130">
        <f>IF(CODE($E$7)=72,IF(((B29-B38)-(B29-B38)*IF($E$9="SI",$E$16-2,$E$16)/100+B30)&lt;VLOOKUP($E$14,Indices!$B$4:$F$211,5,FALSE)*$E$10,(VLOOKUP($E$14,Indices!$B$4:$F$211,5,FALSE)*$E$10-B30)-((B29-B38)-(B29-B38)*IF($E$9="SI",$E$16-2,$E$16)/100),0),IF(((B29-B38)-(B29-B38)*IF($E$9="SI",$E$16-2,$E$16)/100+B30)&lt;VLOOKUP($E$14,Indices!$B$4:$F$211,5,FALSE),(VLOOKUP($E$14,Indices!$B$4:$F$211,5,FALSE)-B30)-((B29-B38)-(B29-B38)*IF($E$9="SI",$E$16-2,$E$16)/100),0))</f>
        <v>116287</v>
      </c>
      <c r="C31" s="130">
        <f>IF(CODE($E$7)=72,IF(((C29-C38)-(C29-C38)*IF($E$9="SI",$E$16-2,$E$16)/100+C30)&lt;VLOOKUP($E$14,Indices!$B$4:$F$211,5,FALSE)*$E$10,(VLOOKUP($E$14,Indices!$B$4:$F$211,5,FALSE)*$E$10-C30)-((C29-C38)-(C29-C38)*IF($E$9="SI",$E$16-2,$E$16)/100),0),IF(((C29-C38)-(C29-C38)*IF($E$9="SI",$E$16-2,$E$16)/100+C30)&lt;VLOOKUP($E$14,Indices!$B$4:$F$211,5,FALSE),(VLOOKUP($E$14,Indices!$B$4:$F$211,5,FALSE)-C30)-((C29-C38)-(C29-C38)*IF($E$9="SI",$E$16-2,$E$16)/100),0))</f>
        <v>36738.730000000003</v>
      </c>
      <c r="D31" s="130">
        <f>IF(CODE($E$7)=72,IF(((D29-D38)-(D29-D38)*IF($E$9="SI",$E$16-2,$E$16)/100+D30)&lt;VLOOKUP($E$14,Indices!$B$4:$F$211,5,FALSE)*$E$10,(VLOOKUP($E$14,Indices!$B$4:$F$211,5,FALSE)*$E$10-D30)-((D29-D38)-(D29-D38)*IF($E$9="SI",$E$16-2,$E$16)/100),0),IF(((D29-D38)-(D29-D38)*IF($E$9="SI",$E$16-2,$E$16)/100+D30)&lt;VLOOKUP($E$14,Indices!$B$4:$F$211,5,FALSE),(VLOOKUP($E$14,Indices!$B$4:$F$211,5,FALSE)-D30)-((D29-D38)-(D29-D38)*IF($E$9="SI",$E$16-2,$E$16)/100),0))</f>
        <v>10222.64</v>
      </c>
      <c r="E31" s="130">
        <f>IF(CODE($E$7)=72,IF(((E29-E38)-(E29-E38)*IF($E$9="SI",$E$16-2,$E$16)/100+E30)&lt;VLOOKUP($E$14,Indices!$B$4:$F$211,5,FALSE)*$E$10,(VLOOKUP($E$14,Indices!$B$4:$F$211,5,FALSE)*$E$10-E30)-((E29-E38)-(E29-E38)*IF($E$9="SI",$E$16-2,$E$16)/100),0),IF(((E29-E38)-(E29-E38)*IF($E$9="SI",$E$16-2,$E$16)/100+E30)&lt;VLOOKUP($E$14,Indices!$B$4:$F$211,5,FALSE),(VLOOKUP($E$14,Indices!$B$4:$F$211,5,FALSE)-E30)-((E29-E38)-(E29-E38)*IF($E$9="SI",$E$16-2,$E$16)/100),0))</f>
        <v>0</v>
      </c>
      <c r="F31" s="130">
        <f>IF(CODE($E$7)=72,IF(((F29-F38)-(F29-F38)*IF($E$9="SI",$E$16-2,$E$16)/100+F30)&lt;VLOOKUP($E$14,Indices!$B$4:$F$211,5,FALSE)*$E$10,(VLOOKUP($E$14,Indices!$B$4:$F$211,5,FALSE)*$E$10-F30)-((F29-F38)-(F29-F38)*IF($E$9="SI",$E$16-2,$E$16)/100),0),IF(((F29-F38)-(F29-F38)*IF($E$9="SI",$E$16-2,$E$16)/100+F30)&lt;VLOOKUP($E$14,Indices!$B$4:$F$211,5,FALSE),(VLOOKUP($E$14,Indices!$B$4:$F$211,5,FALSE)-F30)-((F29-F38)-(F29-F38)*IF($E$9="SI",$E$16-2,$E$16)/100),0))</f>
        <v>0</v>
      </c>
      <c r="G31" s="130">
        <f>IF(CODE($E$7)=72,IF(((G29-G38)-(G29-G38)*IF($E$9="SI",$E$16-2,$E$16)/100+G30)&lt;VLOOKUP($E$14,Indices!$B$4:$F$211,5,FALSE)*$E$10,(VLOOKUP($E$14,Indices!$B$4:$F$211,5,FALSE)*$E$10-G30)-((G29-G38)-(G29-G38)*IF($E$9="SI",$E$16-2,$E$16)/100),0),IF(((G29-G38)-(G29-G38)*IF($E$9="SI",$E$16-2,$E$16)/100+G30)&lt;VLOOKUP($E$14,Indices!$B$4:$F$211,5,FALSE),(VLOOKUP($E$14,Indices!$B$4:$F$211,5,FALSE)-G30)-((G29-G38)-(G29-G38)*IF($E$9="SI",$E$16-2,$E$16)/100),0))</f>
        <v>0</v>
      </c>
      <c r="H31" s="130">
        <f>IF(CODE($E$7)=72,IF(((H29-H38)-(H29-H38)*IF($E$9="SI",$E$16-2,$E$16)/100+H30)&lt;VLOOKUP($E$14,Indices!$B$4:$F$211,5,FALSE)*$E$10,(VLOOKUP($E$14,Indices!$B$4:$F$211,5,FALSE)*$E$10-H30)-((H29-H38)-(H29-H38)*IF($E$9="SI",$E$16-2,$E$16)/100),0),IF(((H29-H38)-(H29-H38)*IF($E$9="SI",$E$16-2,$E$16)/100+H30)&lt;VLOOKUP($E$14,Indices!$B$4:$F$211,5,FALSE),(VLOOKUP($E$14,Indices!$B$4:$F$211,5,FALSE)-H30)-((H29-H38)-(H29-H38)*IF($E$9="SI",$E$16-2,$E$16)/100),0))</f>
        <v>0</v>
      </c>
      <c r="I31" s="130">
        <f>IF(CODE($E$7)=72,IF(((I29-I38)-(I29-I38)*IF($E$9="SI",$E$16-2,$E$16)/100+I30)&lt;VLOOKUP($E$14,Indices!$B$4:$F$211,5,FALSE)*$E$10,(VLOOKUP($E$14,Indices!$B$4:$F$211,5,FALSE)*$E$10-I30)-((I29-I38)-(I29-I38)*IF($E$9="SI",$E$16-2,$E$16)/100),0),IF(((I29-I38)-(I29-I38)*IF($E$9="SI",$E$16-2,$E$16)/100+I30)&lt;VLOOKUP($E$14,Indices!$B$4:$F$211,5,FALSE),(VLOOKUP($E$14,Indices!$B$4:$F$211,5,FALSE)-I30)-((I29-I38)-(I29-I38)*IF($E$9="SI",$E$16-2,$E$16)/100),0))</f>
        <v>0</v>
      </c>
      <c r="J31" s="130">
        <f>IF(CODE($E$7)=72,IF(((J29-J38)-(J29-J38)*IF($E$9="SI",$E$16-2,$E$16)/100+J30)&lt;VLOOKUP($E$14,Indices!$B$4:$F$211,5,FALSE)*$E$10,(VLOOKUP($E$14,Indices!$B$4:$F$211,5,FALSE)*$E$10-J30)-((J29-J38)-(J29-J38)*IF($E$9="SI",$E$16-2,$E$16)/100),0),IF(((J29-J38)-(J29-J38)*IF($E$9="SI",$E$16-2,$E$16)/100+J30)&lt;VLOOKUP($E$14,Indices!$B$4:$F$211,5,FALSE),(VLOOKUP($E$14,Indices!$B$4:$F$211,5,FALSE)-J30)-((J29-J38)-(J29-J38)*IF($E$9="SI",$E$16-2,$E$16)/100),0))</f>
        <v>0</v>
      </c>
      <c r="K31" s="130">
        <f>IF(CODE($E$7)=72,IF(((K29-K38)-(K29-K38)*IF($E$9="SI",$E$16-2,$E$16)/100+K30)&lt;VLOOKUP($E$14,Indices!$B$4:$F$211,5,FALSE)*$E$10,(VLOOKUP($E$14,Indices!$B$4:$F$211,5,FALSE)*$E$10-K30)-((K29-K38)-(K29-K38)*IF($E$9="SI",$E$16-2,$E$16)/100),0),IF(((K29-K38)-(K29-K38)*IF($E$9="SI",$E$16-2,$E$16)/100+K30)&lt;VLOOKUP($E$14,Indices!$B$4:$F$211,5,FALSE),(VLOOKUP($E$14,Indices!$B$4:$F$211,5,FALSE)-K30)-((K29-K38)-(K29-K38)*IF($E$9="SI",$E$16-2,$E$16)/100),0))</f>
        <v>0</v>
      </c>
      <c r="L31" s="130">
        <f>IF(CODE($E$7)=72,IF(((L29-L38)-(L29-L38)*IF($E$9="SI",$E$16-2,$E$16)/100+L30)&lt;VLOOKUP($E$14,Indices!$B$4:$F$211,5,FALSE)*$E$10,(VLOOKUP($E$14,Indices!$B$4:$F$211,5,FALSE)*$E$10-L30)-((L29-L38)-(L29-L38)*IF($E$9="SI",$E$16-2,$E$16)/100),0),IF(((L29-L38)-(L29-L38)*IF($E$9="SI",$E$16-2,$E$16)/100+L30)&lt;VLOOKUP($E$14,Indices!$B$4:$F$211,5,FALSE),(VLOOKUP($E$14,Indices!$B$4:$F$211,5,FALSE)-L30)-((L29-L38)-(L29-L38)*IF($E$9="SI",$E$16-2,$E$16)/100),0))</f>
        <v>0</v>
      </c>
    </row>
    <row r="32" spans="1:13" s="19" customFormat="1" ht="16.5" x14ac:dyDescent="0.3">
      <c r="A32" s="62" t="str">
        <f>+Datos!A42</f>
        <v>Comp. Fija Prop. (CFP)</v>
      </c>
      <c r="B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3" spans="1:12" s="19" customFormat="1" ht="16.5" x14ac:dyDescent="0.3">
      <c r="A33" s="81" t="str">
        <f>+Datos!A46</f>
        <v>Suma Fija NR NB</v>
      </c>
      <c r="B33" s="124">
        <f>IF(CODE($E$7)=72,$E$10*Datos!$B$31,VLOOKUP($E$14,Indices!$B$3:$N$211,11,FALSE))</f>
        <v>30000</v>
      </c>
      <c r="C33" s="124">
        <f>IF(CODE($E$7)=72,$E$10*Datos!$B$31,VLOOKUP($E$14,Indices!$B$3:$N$211,11,FALSE))</f>
        <v>30000</v>
      </c>
      <c r="D33" s="124">
        <f>IF(CODE($E$7)=72,$E$10*Datos!$B$31,VLOOKUP($E$14,Indices!$B$3:$N$211,11,FALSE))</f>
        <v>30000</v>
      </c>
      <c r="E33" s="124">
        <f>IF(CODE($E$7)=72,$E$10*Datos!$B$31,VLOOKUP($E$14,Indices!$B$3:$N$211,11,FALSE))</f>
        <v>30000</v>
      </c>
      <c r="F33" s="124">
        <f>IF(CODE($E$7)=72,$E$10*Datos!$B$31,VLOOKUP($E$14,Indices!$B$3:$N$211,11,FALSE))</f>
        <v>30000</v>
      </c>
      <c r="G33" s="124">
        <f>IF(CODE($E$7)=72,$E$10*Datos!$B$31,VLOOKUP($E$14,Indices!$B$3:$N$211,11,FALSE))</f>
        <v>30000</v>
      </c>
      <c r="H33" s="124">
        <f>IF(CODE($E$7)=72,$E$10*Datos!$B$31,VLOOKUP($E$14,Indices!$B$3:$N$211,11,FALSE))</f>
        <v>30000</v>
      </c>
      <c r="I33" s="124">
        <f>IF(CODE($E$7)=72,$E$10*Datos!$B$31,VLOOKUP($E$14,Indices!$B$3:$N$211,11,FALSE))</f>
        <v>30000</v>
      </c>
      <c r="J33" s="124">
        <f>IF(CODE($E$7)=72,$E$10*Datos!$B$31,VLOOKUP($E$14,Indices!$B$3:$N$211,11,FALSE))</f>
        <v>30000</v>
      </c>
      <c r="K33" s="124">
        <f>IF(CODE($E$7)=72,$E$10*Datos!$B$31,VLOOKUP($E$14,Indices!$B$3:$N$211,11,FALSE))</f>
        <v>30000</v>
      </c>
      <c r="L33" s="124">
        <f>IF(CODE($E$7)=72,$E$10*Datos!$B$31,VLOOKUP($E$14,Indices!$B$3:$N$211,11,FALSE))</f>
        <v>30000</v>
      </c>
    </row>
    <row r="34" spans="1:12" s="19" customFormat="1" ht="16.5" x14ac:dyDescent="0.3">
      <c r="A34" s="65" t="s">
        <v>173</v>
      </c>
      <c r="B34" s="131">
        <f t="shared" ref="B34:L34" si="4">SUM(B30:B33)</f>
        <v>306679</v>
      </c>
      <c r="C34" s="131">
        <f t="shared" si="4"/>
        <v>227130.73</v>
      </c>
      <c r="D34" s="131">
        <f t="shared" si="4"/>
        <v>200614.64</v>
      </c>
      <c r="E34" s="131">
        <f t="shared" si="4"/>
        <v>68500</v>
      </c>
      <c r="F34" s="131">
        <f t="shared" si="4"/>
        <v>68500</v>
      </c>
      <c r="G34" s="131">
        <f t="shared" si="4"/>
        <v>68500</v>
      </c>
      <c r="H34" s="131">
        <f t="shared" si="4"/>
        <v>68500</v>
      </c>
      <c r="I34" s="131">
        <f t="shared" si="4"/>
        <v>68500</v>
      </c>
      <c r="J34" s="131">
        <f t="shared" si="4"/>
        <v>68500</v>
      </c>
      <c r="K34" s="131">
        <f t="shared" si="4"/>
        <v>68500</v>
      </c>
      <c r="L34" s="131">
        <f t="shared" si="4"/>
        <v>68500</v>
      </c>
    </row>
    <row r="35" spans="1:12" s="19" customFormat="1" ht="16.5" x14ac:dyDescent="0.3">
      <c r="A35" s="66" t="s">
        <v>14</v>
      </c>
      <c r="B35" s="132">
        <f t="shared" ref="B35:L35" si="5">IF(B29&lt;$E$17,(B29*$E$16/100),(B29*($E$16-6)/100)+$E$17*0.06)+(IF($E$9="SI",(B30+B31)*0.02,0))</f>
        <v>89600.12</v>
      </c>
      <c r="C35" s="132">
        <f t="shared" si="5"/>
        <v>114036.52</v>
      </c>
      <c r="D35" s="132">
        <f t="shared" si="5"/>
        <v>122181.98</v>
      </c>
      <c r="E35" s="132">
        <f t="shared" si="5"/>
        <v>165821.85</v>
      </c>
      <c r="F35" s="132">
        <f t="shared" si="5"/>
        <v>173967.32</v>
      </c>
      <c r="G35" s="132">
        <f t="shared" si="5"/>
        <v>182112.78</v>
      </c>
      <c r="H35" s="132">
        <f t="shared" si="5"/>
        <v>190258.25</v>
      </c>
      <c r="I35" s="132">
        <f t="shared" si="5"/>
        <v>198403.71</v>
      </c>
      <c r="J35" s="132">
        <f t="shared" si="5"/>
        <v>206549.18</v>
      </c>
      <c r="K35" s="132">
        <f t="shared" si="5"/>
        <v>214694.65</v>
      </c>
      <c r="L35" s="132">
        <f t="shared" si="5"/>
        <v>222840.11</v>
      </c>
    </row>
    <row r="36" spans="1:12" s="19" customFormat="1" ht="18" x14ac:dyDescent="0.3">
      <c r="A36" s="67" t="s">
        <v>13</v>
      </c>
      <c r="B36" s="133">
        <f t="shared" ref="B36:L36" si="6">SUM(B29+B34)-B35</f>
        <v>598356</v>
      </c>
      <c r="C36" s="133">
        <f t="shared" si="6"/>
        <v>598356</v>
      </c>
      <c r="D36" s="133">
        <f t="shared" si="6"/>
        <v>598356</v>
      </c>
      <c r="E36" s="133">
        <f t="shared" si="6"/>
        <v>608303.05000000005</v>
      </c>
      <c r="F36" s="133">
        <f t="shared" si="6"/>
        <v>634819.14</v>
      </c>
      <c r="G36" s="133">
        <f t="shared" si="6"/>
        <v>661335.23</v>
      </c>
      <c r="H36" s="133">
        <f t="shared" si="6"/>
        <v>687851.32</v>
      </c>
      <c r="I36" s="133">
        <f t="shared" si="6"/>
        <v>714367.41</v>
      </c>
      <c r="J36" s="133">
        <f t="shared" si="6"/>
        <v>740883.5</v>
      </c>
      <c r="K36" s="133">
        <f t="shared" si="6"/>
        <v>767399.59</v>
      </c>
      <c r="L36" s="133">
        <f t="shared" si="6"/>
        <v>793915.68</v>
      </c>
    </row>
    <row r="37" spans="1:12" s="19" customFormat="1" ht="92.25" customHeight="1" x14ac:dyDescent="0.3">
      <c r="A37" s="149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</row>
    <row r="38" spans="1:12" ht="31.5" x14ac:dyDescent="0.25">
      <c r="A38" s="117" t="s">
        <v>180</v>
      </c>
      <c r="B38" s="120">
        <f t="shared" ref="B38:L38" si="7">IF(B27&gt;0,(SUM(B22:B23)*1.25+SUM(B22:B23)*B20),(SUM(B22:B23)*1.1+SUM(B22:B23)*B20))</f>
        <v>0</v>
      </c>
      <c r="C38" s="120">
        <f t="shared" si="7"/>
        <v>0</v>
      </c>
      <c r="D38" s="120">
        <f t="shared" si="7"/>
        <v>0</v>
      </c>
      <c r="E38" s="120">
        <f t="shared" si="7"/>
        <v>0</v>
      </c>
      <c r="F38" s="120">
        <f t="shared" si="7"/>
        <v>0</v>
      </c>
      <c r="G38" s="120">
        <f t="shared" si="7"/>
        <v>0</v>
      </c>
      <c r="H38" s="120">
        <f t="shared" si="7"/>
        <v>0</v>
      </c>
      <c r="I38" s="120">
        <f t="shared" si="7"/>
        <v>0</v>
      </c>
      <c r="J38" s="120">
        <f t="shared" si="7"/>
        <v>0</v>
      </c>
      <c r="K38" s="120">
        <f t="shared" si="7"/>
        <v>0</v>
      </c>
      <c r="L38" s="120">
        <f t="shared" si="7"/>
        <v>0</v>
      </c>
    </row>
    <row r="39" spans="1:12" x14ac:dyDescent="0.25"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</row>
    <row r="40" spans="1:12" x14ac:dyDescent="0.25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</row>
  </sheetData>
  <sheetProtection algorithmName="SHA-512" hashValue="vj/oLl5V12j/PVQx7w3NzOfmorpydzt1/SnBEQorl7By7KmAD5Q1HJ7HH6hwu4FVxja25/l9iZYIGmFEFWnmTQ==" saltValue="vpwueikKEmJqPp/jvnq3vg==" spinCount="100000" sheet="1" objects="1" scenarios="1" selectLockedCells="1"/>
  <mergeCells count="28">
    <mergeCell ref="A37:L37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>
      <formula1>INDIRECT(SUBSTITUTE(E6," ","_"))</formula1>
    </dataValidation>
    <dataValidation type="list" allowBlank="1" showInputMessage="1" showErrorMessage="1" sqref="B12 E8:E9">
      <formula1>Opciones</formula1>
    </dataValidation>
    <dataValidation type="list" allowBlank="1" showInputMessage="1" showErrorMessage="1" sqref="E6">
      <formula1>NIVEL</formula1>
    </dataValidation>
    <dataValidation type="list" allowBlank="1" showInputMessage="1" showErrorMessage="1" sqref="E10">
      <formula1>Horas</formula1>
    </dataValidation>
    <dataValidation type="list" allowBlank="1" showInputMessage="1" showErrorMessage="1" sqref="E11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Juls</cp:lastModifiedBy>
  <cp:lastPrinted>2020-11-19T12:26:51Z</cp:lastPrinted>
  <dcterms:created xsi:type="dcterms:W3CDTF">2004-09-03T16:19:55Z</dcterms:created>
  <dcterms:modified xsi:type="dcterms:W3CDTF">2024-08-19T19:22:49Z</dcterms:modified>
</cp:coreProperties>
</file>