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X:\Disco Julio\Grillas\Pers. Programático\2024\"/>
    </mc:Choice>
  </mc:AlternateContent>
  <workbookProtection workbookPassword="8430" lockStructure="1"/>
  <bookViews>
    <workbookView xWindow="0" yWindow="0" windowWidth="19410" windowHeight="7755" tabRatio="601" firstSheet="3" activeTab="3"/>
  </bookViews>
  <sheets>
    <sheet name="Indices" sheetId="19" state="hidden" r:id="rId1"/>
    <sheet name="Datos" sheetId="9" state="hidden" r:id="rId2"/>
    <sheet name="Cargos" sheetId="18" state="hidden" r:id="rId3"/>
    <sheet name="Grilla Personal Docente" sheetId="17" r:id="rId4"/>
  </sheets>
  <definedNames>
    <definedName name="_xlnm._FilterDatabase" localSheetId="2" hidden="1">Cargos!$H$4:$H$6</definedName>
    <definedName name="_xlnm._FilterDatabase" localSheetId="1" hidden="1">Datos!$A$52:$A$82</definedName>
    <definedName name="_xlnm._FilterDatabase" localSheetId="3" hidden="1">'Grilla Personal Docente'!$E$7:$H$7</definedName>
    <definedName name="_xlnm._FilterDatabase" localSheetId="0" hidden="1">Indices!$B$1:$B$163</definedName>
    <definedName name="_xlnm.Print_Area" localSheetId="3">'Grilla Personal Docente'!$A$1:$L$38</definedName>
    <definedName name="Director_Ed_Especial_J.C.">Cargos!$H$4:$H$6</definedName>
    <definedName name="Enfermería_Nivel_Medio">Cargos!$N$4</definedName>
    <definedName name="Enseñanza_Especial_J._Simple">Cargos!$G$4:$G$26</definedName>
    <definedName name="Enseñanza_Especial_J.Completa">Cargos!$H$4:$H$6</definedName>
    <definedName name="Horas">Datos!$A$53:$A$82</definedName>
    <definedName name="Jardin_J._Simple">Cargos!$B$4:$B$12</definedName>
    <definedName name="Jardín_J.Completa">Cargos!$D$4:$D$8</definedName>
    <definedName name="Medio_Común">Cargos!$I$4:$I$17</definedName>
    <definedName name="Medio_T._Completo">Cargos!$K$4:$K$9</definedName>
    <definedName name="Medio_Técnico">Cargos!$J$4:$J$10</definedName>
    <definedName name="NIVEL">OFFSET(Cargos!$A$1,3,0,COUNTA(Cargos!$A:$A)-2,1)</definedName>
    <definedName name="Opciones">Datos!$A$49:$A$50</definedName>
    <definedName name="Primario_Adultos">Cargos!$F$4:$F$8</definedName>
    <definedName name="Primario_J._Simple">Cargos!$C$4:$C$13</definedName>
    <definedName name="Primario_J.Completa">Cargos!$E$4:$E$11</definedName>
    <definedName name="Superior_Docente">Cargos!$L$4:$L$14</definedName>
    <definedName name="Superior_Técnico_Enfermería">Cargos!$M$4:$M$7</definedName>
    <definedName name="Tipologia">Datos!$A$86:$A$88</definedName>
  </definedNames>
  <calcPr calcId="152511" fullPrecision="0"/>
</workbook>
</file>

<file path=xl/calcChain.xml><?xml version="1.0" encoding="utf-8"?>
<calcChain xmlns="http://schemas.openxmlformats.org/spreadsheetml/2006/main">
  <c r="E17" i="17" l="1"/>
  <c r="A34" i="17" l="1"/>
  <c r="L118" i="19"/>
  <c r="L117" i="19"/>
  <c r="L116" i="19"/>
  <c r="L115" i="19"/>
  <c r="L114" i="19"/>
  <c r="L113" i="19"/>
  <c r="L112" i="19"/>
  <c r="L111" i="19"/>
  <c r="L110" i="19"/>
  <c r="L109" i="19"/>
  <c r="L101" i="19"/>
  <c r="L100" i="19"/>
  <c r="L99" i="19"/>
  <c r="L94" i="19"/>
  <c r="L93" i="19"/>
  <c r="L92" i="19"/>
  <c r="L91" i="19"/>
  <c r="L90" i="19"/>
  <c r="L89" i="19"/>
  <c r="L88" i="19"/>
  <c r="L85" i="19"/>
  <c r="L84" i="19"/>
  <c r="L83" i="19"/>
  <c r="L82" i="19"/>
  <c r="L81" i="19"/>
  <c r="L80" i="19"/>
  <c r="L79" i="19"/>
  <c r="L78" i="19"/>
  <c r="L77" i="19"/>
  <c r="L76" i="19"/>
  <c r="L75" i="19"/>
  <c r="L74" i="19"/>
  <c r="L73" i="19"/>
  <c r="L71" i="19"/>
  <c r="L67" i="19"/>
  <c r="L63" i="19"/>
  <c r="L62" i="19"/>
  <c r="L61" i="19"/>
  <c r="L60" i="19"/>
  <c r="L59" i="19"/>
  <c r="L58" i="19"/>
  <c r="L57" i="19"/>
  <c r="L56" i="19"/>
  <c r="L55" i="19"/>
  <c r="L54" i="19"/>
  <c r="L53" i="19"/>
  <c r="L52" i="19"/>
  <c r="L51" i="19"/>
  <c r="L50" i="19"/>
  <c r="L49" i="19"/>
  <c r="L43" i="19"/>
  <c r="L42" i="19"/>
  <c r="L41" i="19"/>
  <c r="L40" i="19"/>
  <c r="L23" i="19"/>
  <c r="L22" i="19"/>
  <c r="L21" i="19"/>
  <c r="L20" i="19"/>
  <c r="L19" i="19"/>
  <c r="L18" i="19"/>
  <c r="L17" i="19"/>
  <c r="L16" i="19"/>
  <c r="L15" i="19"/>
  <c r="L14" i="19"/>
  <c r="L11" i="19"/>
  <c r="L10" i="19"/>
  <c r="L9" i="19"/>
  <c r="L8" i="19"/>
  <c r="L6" i="19"/>
  <c r="L5" i="19"/>
  <c r="L4" i="19"/>
  <c r="L7" i="19"/>
  <c r="B31" i="9"/>
  <c r="L70" i="19" s="1"/>
  <c r="B30" i="9"/>
  <c r="L97" i="19" s="1"/>
  <c r="L98" i="19" l="1"/>
  <c r="L38" i="19"/>
  <c r="L28" i="19"/>
  <c r="L33" i="19"/>
  <c r="L37" i="19"/>
  <c r="L47" i="19"/>
  <c r="L25" i="19"/>
  <c r="L29" i="19"/>
  <c r="L34" i="19"/>
  <c r="L48" i="19"/>
  <c r="L64" i="19"/>
  <c r="L68" i="19"/>
  <c r="L12" i="19"/>
  <c r="L26" i="19"/>
  <c r="L31" i="19"/>
  <c r="L35" i="19"/>
  <c r="L44" i="19"/>
  <c r="L65" i="19"/>
  <c r="L69" i="19"/>
  <c r="L86" i="19"/>
  <c r="L96" i="19"/>
  <c r="L119" i="19"/>
  <c r="L27" i="19"/>
  <c r="L32" i="19"/>
  <c r="L36" i="19"/>
  <c r="L46" i="19"/>
  <c r="L66" i="19"/>
  <c r="B26" i="9"/>
  <c r="I22" i="19"/>
  <c r="H22" i="19"/>
  <c r="G22" i="19"/>
  <c r="F22" i="19"/>
  <c r="I21" i="19"/>
  <c r="H21" i="19"/>
  <c r="G21" i="19"/>
  <c r="F21" i="19"/>
  <c r="I11" i="19"/>
  <c r="H11" i="19"/>
  <c r="G11" i="19"/>
  <c r="F11" i="19"/>
  <c r="B27" i="9"/>
  <c r="I82" i="19"/>
  <c r="H82" i="19"/>
  <c r="G82" i="19"/>
  <c r="F82" i="19"/>
  <c r="B5" i="9"/>
  <c r="C10" i="9"/>
  <c r="C4" i="9"/>
  <c r="C27" i="9" l="1"/>
  <c r="C7" i="9"/>
  <c r="A28" i="17"/>
  <c r="A30" i="17"/>
  <c r="A33" i="17"/>
  <c r="A32" i="17"/>
  <c r="C24" i="9"/>
  <c r="B24" i="9"/>
  <c r="B23" i="9"/>
  <c r="F124" i="19"/>
  <c r="F123" i="19"/>
  <c r="F122" i="19"/>
  <c r="F121" i="19"/>
  <c r="I118" i="19"/>
  <c r="H118" i="19"/>
  <c r="G118" i="19"/>
  <c r="F118" i="19"/>
  <c r="I117" i="19"/>
  <c r="H117" i="19"/>
  <c r="G117" i="19"/>
  <c r="F117" i="19"/>
  <c r="I116" i="19"/>
  <c r="H116" i="19"/>
  <c r="G116" i="19"/>
  <c r="F116" i="19"/>
  <c r="I115" i="19"/>
  <c r="H115" i="19"/>
  <c r="G115" i="19"/>
  <c r="F115" i="19"/>
  <c r="I114" i="19"/>
  <c r="H114" i="19"/>
  <c r="G114" i="19"/>
  <c r="F114" i="19"/>
  <c r="I113" i="19"/>
  <c r="H113" i="19"/>
  <c r="G113" i="19"/>
  <c r="F113" i="19"/>
  <c r="I112" i="19"/>
  <c r="H112" i="19"/>
  <c r="G112" i="19"/>
  <c r="F112" i="19"/>
  <c r="I110" i="19"/>
  <c r="H110" i="19"/>
  <c r="G110" i="19"/>
  <c r="F110" i="19"/>
  <c r="I109" i="19"/>
  <c r="H109" i="19"/>
  <c r="G109" i="19"/>
  <c r="F109" i="19"/>
  <c r="F107" i="19"/>
  <c r="L106" i="19"/>
  <c r="F105" i="19"/>
  <c r="F104" i="19"/>
  <c r="F103" i="19"/>
  <c r="F102" i="19"/>
  <c r="F101" i="19"/>
  <c r="I100" i="19"/>
  <c r="H100" i="19"/>
  <c r="G100" i="19"/>
  <c r="F100" i="19"/>
  <c r="I99" i="19"/>
  <c r="H99" i="19"/>
  <c r="G99" i="19"/>
  <c r="F99" i="19"/>
  <c r="F98" i="19"/>
  <c r="F97" i="19"/>
  <c r="F96" i="19"/>
  <c r="L95" i="19"/>
  <c r="I94" i="19"/>
  <c r="H94" i="19"/>
  <c r="G94" i="19"/>
  <c r="F94" i="19"/>
  <c r="I93" i="19"/>
  <c r="H93" i="19"/>
  <c r="G93" i="19"/>
  <c r="F93" i="19"/>
  <c r="I92" i="19"/>
  <c r="H92" i="19"/>
  <c r="G92" i="19"/>
  <c r="F92" i="19"/>
  <c r="I91" i="19"/>
  <c r="H91" i="19"/>
  <c r="G91" i="19"/>
  <c r="F91" i="19"/>
  <c r="I90" i="19"/>
  <c r="H90" i="19"/>
  <c r="G90" i="19"/>
  <c r="F90" i="19"/>
  <c r="I89" i="19"/>
  <c r="H89" i="19"/>
  <c r="G89" i="19"/>
  <c r="F89" i="19"/>
  <c r="I88" i="19"/>
  <c r="H88" i="19"/>
  <c r="G88" i="19"/>
  <c r="F88" i="19"/>
  <c r="L87" i="19"/>
  <c r="I85" i="19"/>
  <c r="H85" i="19"/>
  <c r="G85" i="19"/>
  <c r="F85" i="19"/>
  <c r="I84" i="19"/>
  <c r="H84" i="19"/>
  <c r="G84" i="19"/>
  <c r="F84" i="19"/>
  <c r="I83" i="19"/>
  <c r="H83" i="19"/>
  <c r="G83" i="19"/>
  <c r="F83" i="19"/>
  <c r="I81" i="19"/>
  <c r="H81" i="19"/>
  <c r="G81" i="19"/>
  <c r="F81" i="19"/>
  <c r="I80" i="19"/>
  <c r="H80" i="19"/>
  <c r="G80" i="19"/>
  <c r="F80" i="19"/>
  <c r="I79" i="19"/>
  <c r="H79" i="19"/>
  <c r="G79" i="19"/>
  <c r="F79" i="19"/>
  <c r="I78" i="19"/>
  <c r="H78" i="19"/>
  <c r="G78" i="19"/>
  <c r="F78" i="19"/>
  <c r="I77" i="19"/>
  <c r="H77" i="19"/>
  <c r="G77" i="19"/>
  <c r="F77" i="19"/>
  <c r="I76" i="19"/>
  <c r="H76" i="19"/>
  <c r="G76" i="19"/>
  <c r="F76" i="19"/>
  <c r="I74" i="19"/>
  <c r="H74" i="19"/>
  <c r="G74" i="19"/>
  <c r="F74" i="19"/>
  <c r="I73" i="19"/>
  <c r="H73" i="19"/>
  <c r="G73" i="19"/>
  <c r="F73" i="19"/>
  <c r="L72" i="19"/>
  <c r="I63" i="19"/>
  <c r="H63" i="19"/>
  <c r="G63" i="19"/>
  <c r="F63" i="19"/>
  <c r="I62" i="19"/>
  <c r="H62" i="19"/>
  <c r="G62" i="19"/>
  <c r="F62" i="19"/>
  <c r="I61" i="19"/>
  <c r="H61" i="19"/>
  <c r="G61" i="19"/>
  <c r="F61" i="19"/>
  <c r="I60" i="19"/>
  <c r="H60" i="19"/>
  <c r="G60" i="19"/>
  <c r="F60" i="19"/>
  <c r="I59" i="19"/>
  <c r="H59" i="19"/>
  <c r="G59" i="19"/>
  <c r="F59" i="19"/>
  <c r="I58" i="19"/>
  <c r="H58" i="19"/>
  <c r="G58" i="19"/>
  <c r="F58" i="19"/>
  <c r="I57" i="19"/>
  <c r="H57" i="19"/>
  <c r="G57" i="19"/>
  <c r="F57" i="19"/>
  <c r="I56" i="19"/>
  <c r="H56" i="19"/>
  <c r="G56" i="19"/>
  <c r="F56" i="19"/>
  <c r="I55" i="19"/>
  <c r="H55" i="19"/>
  <c r="G55" i="19"/>
  <c r="F55" i="19"/>
  <c r="I54" i="19"/>
  <c r="H54" i="19"/>
  <c r="G54" i="19"/>
  <c r="F54" i="19"/>
  <c r="I53" i="19"/>
  <c r="H53" i="19"/>
  <c r="G53" i="19"/>
  <c r="F53" i="19"/>
  <c r="I52" i="19"/>
  <c r="H52" i="19"/>
  <c r="G52" i="19"/>
  <c r="F52" i="19"/>
  <c r="I51" i="19"/>
  <c r="H51" i="19"/>
  <c r="G51" i="19"/>
  <c r="F51" i="19"/>
  <c r="I50" i="19"/>
  <c r="H50" i="19"/>
  <c r="G50" i="19"/>
  <c r="F50" i="19"/>
  <c r="I49" i="19"/>
  <c r="H49" i="19"/>
  <c r="G49" i="19"/>
  <c r="F49" i="19"/>
  <c r="L45" i="19"/>
  <c r="I43" i="19"/>
  <c r="H43" i="19"/>
  <c r="G43" i="19"/>
  <c r="F43" i="19"/>
  <c r="I42" i="19"/>
  <c r="H42" i="19"/>
  <c r="G42" i="19"/>
  <c r="F42" i="19"/>
  <c r="I41" i="19"/>
  <c r="H41" i="19"/>
  <c r="G41" i="19"/>
  <c r="F41" i="19"/>
  <c r="I40" i="19"/>
  <c r="H40" i="19"/>
  <c r="G40" i="19"/>
  <c r="F40" i="19"/>
  <c r="L39" i="19"/>
  <c r="L30" i="19"/>
  <c r="L24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I4" i="19"/>
  <c r="H4" i="19"/>
  <c r="G4" i="19"/>
  <c r="F4" i="19"/>
  <c r="F119" i="19" l="1"/>
  <c r="F86" i="19"/>
  <c r="F71" i="19"/>
  <c r="F70" i="19"/>
  <c r="F69" i="19"/>
  <c r="F68" i="19"/>
  <c r="F67" i="19"/>
  <c r="F66" i="19"/>
  <c r="F65" i="19"/>
  <c r="F64" i="19"/>
  <c r="F44" i="19"/>
  <c r="F38" i="19"/>
  <c r="F29" i="19"/>
  <c r="F23" i="19"/>
  <c r="F12" i="19"/>
  <c r="B17" i="9"/>
  <c r="B16" i="9"/>
  <c r="A31" i="17"/>
  <c r="C14" i="9"/>
  <c r="B11" i="9"/>
  <c r="I119" i="19" s="1"/>
  <c r="B10" i="9"/>
  <c r="B8" i="9"/>
  <c r="H71" i="19" s="1"/>
  <c r="B7" i="9"/>
  <c r="D35" i="9"/>
  <c r="F37" i="19" l="1"/>
  <c r="F28" i="19"/>
  <c r="F36" i="19"/>
  <c r="I37" i="19"/>
  <c r="I36" i="19"/>
  <c r="I28" i="19"/>
  <c r="H96" i="19"/>
  <c r="H37" i="19"/>
  <c r="H36" i="19"/>
  <c r="H28" i="19"/>
  <c r="I68" i="19"/>
  <c r="I98" i="19"/>
  <c r="F46" i="19"/>
  <c r="F31" i="19"/>
  <c r="F35" i="19"/>
  <c r="F34" i="19"/>
  <c r="F33" i="19"/>
  <c r="F32" i="19"/>
  <c r="F27" i="19"/>
  <c r="F25" i="19"/>
  <c r="F48" i="19"/>
  <c r="F26" i="19"/>
  <c r="F47" i="19"/>
  <c r="I46" i="19"/>
  <c r="I23" i="19"/>
  <c r="H34" i="19"/>
  <c r="H101" i="19"/>
  <c r="H66" i="19"/>
  <c r="I25" i="19"/>
  <c r="H32" i="19"/>
  <c r="H97" i="19"/>
  <c r="H64" i="19"/>
  <c r="H86" i="19"/>
  <c r="I34" i="19"/>
  <c r="I101" i="19"/>
  <c r="I66" i="19"/>
  <c r="H33" i="19"/>
  <c r="H98" i="19"/>
  <c r="H65" i="19"/>
  <c r="H119" i="19"/>
  <c r="I35" i="19"/>
  <c r="I12" i="19"/>
  <c r="I67" i="19"/>
  <c r="H35" i="19"/>
  <c r="H12" i="19"/>
  <c r="H67" i="19"/>
  <c r="I26" i="19"/>
  <c r="I47" i="19"/>
  <c r="I29" i="19"/>
  <c r="I69" i="19"/>
  <c r="H25" i="19"/>
  <c r="H46" i="19"/>
  <c r="H23" i="19"/>
  <c r="H68" i="19"/>
  <c r="I27" i="19"/>
  <c r="I48" i="19"/>
  <c r="I38" i="19"/>
  <c r="I70" i="19"/>
  <c r="H26" i="19"/>
  <c r="H47" i="19"/>
  <c r="H29" i="19"/>
  <c r="H69" i="19"/>
  <c r="I31" i="19"/>
  <c r="I96" i="19"/>
  <c r="I44" i="19"/>
  <c r="I71" i="19"/>
  <c r="H27" i="19"/>
  <c r="H48" i="19"/>
  <c r="H38" i="19"/>
  <c r="H70" i="19"/>
  <c r="I32" i="19"/>
  <c r="I97" i="19"/>
  <c r="I64" i="19"/>
  <c r="I86" i="19"/>
  <c r="H31" i="19"/>
  <c r="H44" i="19"/>
  <c r="I33" i="19"/>
  <c r="I65" i="19"/>
  <c r="E13" i="17"/>
  <c r="E14" i="17"/>
  <c r="E15" i="17"/>
  <c r="E16" i="17"/>
  <c r="L34" i="17" l="1"/>
  <c r="J34" i="17"/>
  <c r="H34" i="17"/>
  <c r="F34" i="17"/>
  <c r="D34" i="17"/>
  <c r="B34" i="17"/>
  <c r="K34" i="17"/>
  <c r="I34" i="17"/>
  <c r="G34" i="17"/>
  <c r="E34" i="17"/>
  <c r="C34" i="17"/>
  <c r="E28" i="17"/>
  <c r="F28" i="17"/>
  <c r="D30" i="17"/>
  <c r="B30" i="17"/>
  <c r="K28" i="17"/>
  <c r="I28" i="17"/>
  <c r="G28" i="17"/>
  <c r="K24" i="17"/>
  <c r="I24" i="17"/>
  <c r="G24" i="17"/>
  <c r="E24" i="17"/>
  <c r="C24" i="17"/>
  <c r="C30" i="17"/>
  <c r="L28" i="17"/>
  <c r="J28" i="17"/>
  <c r="H28" i="17"/>
  <c r="L24" i="17"/>
  <c r="J24" i="17"/>
  <c r="H24" i="17"/>
  <c r="F24" i="17"/>
  <c r="D24" i="17"/>
  <c r="B24" i="17"/>
  <c r="K33" i="17"/>
  <c r="I33" i="17"/>
  <c r="G33" i="17"/>
  <c r="E33" i="17"/>
  <c r="C33" i="17"/>
  <c r="K32" i="17"/>
  <c r="I32" i="17"/>
  <c r="G32" i="17"/>
  <c r="E32" i="17"/>
  <c r="C32" i="17"/>
  <c r="L33" i="17"/>
  <c r="J33" i="17"/>
  <c r="H33" i="17"/>
  <c r="F33" i="17"/>
  <c r="D33" i="17"/>
  <c r="L32" i="17"/>
  <c r="J32" i="17"/>
  <c r="H32" i="17"/>
  <c r="F32" i="17"/>
  <c r="D32" i="17"/>
  <c r="B33" i="17"/>
  <c r="A4" i="17"/>
  <c r="L21" i="17" l="1"/>
  <c r="D111" i="19"/>
  <c r="D75" i="19"/>
  <c r="B21" i="9"/>
  <c r="B4" i="9"/>
  <c r="B20" i="9"/>
  <c r="C21" i="9"/>
  <c r="A24" i="17"/>
  <c r="I111" i="19" l="1"/>
  <c r="G111" i="19"/>
  <c r="H111" i="19"/>
  <c r="F111" i="19"/>
  <c r="I75" i="19"/>
  <c r="G75" i="19"/>
  <c r="H75" i="19"/>
  <c r="F75" i="19"/>
  <c r="G37" i="19"/>
  <c r="G28" i="19"/>
  <c r="G36" i="19"/>
  <c r="L23" i="17"/>
  <c r="L22" i="17"/>
  <c r="G96" i="19"/>
  <c r="G31" i="19"/>
  <c r="G26" i="19"/>
  <c r="G27" i="19"/>
  <c r="G101" i="19"/>
  <c r="G25" i="19"/>
  <c r="G34" i="19"/>
  <c r="G98" i="19"/>
  <c r="G48" i="19"/>
  <c r="G35" i="19"/>
  <c r="G47" i="19"/>
  <c r="G46" i="19"/>
  <c r="G33" i="19"/>
  <c r="G97" i="19"/>
  <c r="G32" i="19"/>
  <c r="G119" i="19"/>
  <c r="G86" i="19"/>
  <c r="G68" i="19"/>
  <c r="G66" i="19"/>
  <c r="G67" i="19"/>
  <c r="G65" i="19"/>
  <c r="G44" i="19"/>
  <c r="G71" i="19"/>
  <c r="G64" i="19"/>
  <c r="G38" i="19"/>
  <c r="G29" i="19"/>
  <c r="G69" i="19"/>
  <c r="G70" i="19"/>
  <c r="G23" i="19"/>
  <c r="G12" i="19"/>
  <c r="B32" i="17"/>
  <c r="J21" i="17"/>
  <c r="B21" i="17"/>
  <c r="H21" i="17"/>
  <c r="K21" i="17"/>
  <c r="D21" i="17"/>
  <c r="G21" i="17"/>
  <c r="E21" i="17"/>
  <c r="F21" i="17"/>
  <c r="C21" i="17"/>
  <c r="I21" i="17"/>
  <c r="L26" i="17" l="1"/>
  <c r="I22" i="17"/>
  <c r="I23" i="17"/>
  <c r="F23" i="17"/>
  <c r="F22" i="17"/>
  <c r="G23" i="17"/>
  <c r="G22" i="17"/>
  <c r="K22" i="17"/>
  <c r="K23" i="17"/>
  <c r="B23" i="17"/>
  <c r="A23" i="17" s="1"/>
  <c r="B22" i="17"/>
  <c r="A22" i="17" s="1"/>
  <c r="C23" i="17"/>
  <c r="C22" i="17"/>
  <c r="E22" i="17"/>
  <c r="E23" i="17"/>
  <c r="D23" i="17"/>
  <c r="D22" i="17"/>
  <c r="H23" i="17"/>
  <c r="H22" i="17"/>
  <c r="J23" i="17"/>
  <c r="J22" i="17"/>
  <c r="L25" i="17"/>
  <c r="L27" i="17"/>
  <c r="L39" i="17" s="1"/>
  <c r="H26" i="17" l="1"/>
  <c r="G26" i="17"/>
  <c r="J26" i="17"/>
  <c r="D26" i="17"/>
  <c r="E26" i="17"/>
  <c r="C26" i="17"/>
  <c r="K26" i="17"/>
  <c r="F26" i="17"/>
  <c r="I26" i="17"/>
  <c r="B26" i="17"/>
  <c r="H25" i="17"/>
  <c r="F25" i="17"/>
  <c r="E25" i="17"/>
  <c r="K25" i="17"/>
  <c r="J25" i="17"/>
  <c r="D25" i="17"/>
  <c r="I25" i="17"/>
  <c r="G25" i="17"/>
  <c r="C25" i="17"/>
  <c r="B25" i="17"/>
  <c r="F27" i="17"/>
  <c r="F39" i="17" s="1"/>
  <c r="I27" i="17"/>
  <c r="I39" i="17" s="1"/>
  <c r="K27" i="17"/>
  <c r="K39" i="17" s="1"/>
  <c r="E27" i="17"/>
  <c r="E39" i="17" s="1"/>
  <c r="G27" i="17"/>
  <c r="G39" i="17" s="1"/>
  <c r="J27" i="17"/>
  <c r="J39" i="17" s="1"/>
  <c r="D27" i="17"/>
  <c r="D39" i="17" s="1"/>
  <c r="C27" i="17"/>
  <c r="C39" i="17" s="1"/>
  <c r="H27" i="17"/>
  <c r="H39" i="17" s="1"/>
  <c r="L29" i="17"/>
  <c r="B27" i="17"/>
  <c r="B39" i="17" s="1"/>
  <c r="L36" i="17" l="1"/>
  <c r="L31" i="17"/>
  <c r="F29" i="17"/>
  <c r="F36" i="17" s="1"/>
  <c r="H29" i="17"/>
  <c r="H36" i="17" s="1"/>
  <c r="J29" i="17"/>
  <c r="J36" i="17" s="1"/>
  <c r="E29" i="17"/>
  <c r="E36" i="17" s="1"/>
  <c r="C29" i="17"/>
  <c r="C36" i="17" s="1"/>
  <c r="D29" i="17"/>
  <c r="D36" i="17" s="1"/>
  <c r="G29" i="17"/>
  <c r="G36" i="17" s="1"/>
  <c r="K29" i="17"/>
  <c r="K36" i="17" s="1"/>
  <c r="I29" i="17"/>
  <c r="I36" i="17" s="1"/>
  <c r="B29" i="17"/>
  <c r="B36" i="17" s="1"/>
  <c r="A27" i="17"/>
  <c r="L35" i="17" l="1"/>
  <c r="L37" i="17" s="1"/>
  <c r="B31" i="17"/>
  <c r="C31" i="17"/>
  <c r="E31" i="17"/>
  <c r="D31" i="17"/>
  <c r="J31" i="17"/>
  <c r="G31" i="17"/>
  <c r="H31" i="17"/>
  <c r="I31" i="17"/>
  <c r="F31" i="17"/>
  <c r="K31" i="17"/>
  <c r="J35" i="17" l="1"/>
  <c r="J37" i="17" s="1"/>
  <c r="B35" i="17"/>
  <c r="B37" i="17" s="1"/>
  <c r="I35" i="17"/>
  <c r="I37" i="17" s="1"/>
  <c r="D35" i="17"/>
  <c r="E35" i="17"/>
  <c r="E37" i="17" s="1"/>
  <c r="F35" i="17"/>
  <c r="F37" i="17" s="1"/>
  <c r="H35" i="17"/>
  <c r="H37" i="17" s="1"/>
  <c r="K35" i="17"/>
  <c r="K37" i="17" s="1"/>
  <c r="G35" i="17"/>
  <c r="C35" i="17"/>
  <c r="D37" i="17" l="1"/>
  <c r="C37" i="17"/>
  <c r="G37" i="17"/>
</calcChain>
</file>

<file path=xl/sharedStrings.xml><?xml version="1.0" encoding="utf-8"?>
<sst xmlns="http://schemas.openxmlformats.org/spreadsheetml/2006/main" count="401" uniqueCount="234">
  <si>
    <t>INICIAL</t>
  </si>
  <si>
    <t>1 AÑO</t>
  </si>
  <si>
    <t>4 AÑOS</t>
  </si>
  <si>
    <t>7 AÑOS</t>
  </si>
  <si>
    <t>10 AÑOS</t>
  </si>
  <si>
    <t>12 AÑOS</t>
  </si>
  <si>
    <t>14 AÑOS</t>
  </si>
  <si>
    <t>16 AÑOS</t>
  </si>
  <si>
    <t>18 AÑOS</t>
  </si>
  <si>
    <t>20 AÑOS</t>
  </si>
  <si>
    <t>22 AÑOS</t>
  </si>
  <si>
    <t>Antigüedad</t>
  </si>
  <si>
    <t>Total Remunerativo</t>
  </si>
  <si>
    <t xml:space="preserve">     Total Neto</t>
  </si>
  <si>
    <t xml:space="preserve">Retenciones </t>
  </si>
  <si>
    <t>CODIGO</t>
  </si>
  <si>
    <t>Retenciones de ley %</t>
  </si>
  <si>
    <t>Valor Indice docente</t>
  </si>
  <si>
    <t>Incentivo Docente JS</t>
  </si>
  <si>
    <t>Incentivo Docente JC</t>
  </si>
  <si>
    <t>Incentivo Docente x hora</t>
  </si>
  <si>
    <t>Concepto</t>
  </si>
  <si>
    <t>Valor</t>
  </si>
  <si>
    <t>Decreto 243/08 Art. 2º JS</t>
  </si>
  <si>
    <t>Decreto 243/08 Art. 2º JC</t>
  </si>
  <si>
    <t>Decreto 243/08 Art. 2º x hora</t>
  </si>
  <si>
    <t>Items Sueldo (Decretos)</t>
  </si>
  <si>
    <t>Jardín J.Completa</t>
  </si>
  <si>
    <t>Jardin J. Simple</t>
  </si>
  <si>
    <t>Primario J.Completa</t>
  </si>
  <si>
    <t>Primario J. Simple</t>
  </si>
  <si>
    <t>Primario Adultos</t>
  </si>
  <si>
    <t>Medio Común</t>
  </si>
  <si>
    <t>Medio Técnico</t>
  </si>
  <si>
    <t>Medio T. Completo</t>
  </si>
  <si>
    <t>Superior Docente</t>
  </si>
  <si>
    <t>NIVEL</t>
  </si>
  <si>
    <t>CARGO</t>
  </si>
  <si>
    <t>Director de Nivel Inicial J.S.</t>
  </si>
  <si>
    <t>Vicedirector de Nivel Inicial  J.S.</t>
  </si>
  <si>
    <t>Maestro Secretario Niv Inicial J.S.</t>
  </si>
  <si>
    <t>Maestra de Jardín  J.S.</t>
  </si>
  <si>
    <t>Maestra Celadora de Jardín J.S.</t>
  </si>
  <si>
    <t>Maestra de Apoyo</t>
  </si>
  <si>
    <t>Hora Cátedra Mtro Especial de Jardín</t>
  </si>
  <si>
    <t>Director de Primaria J.S.</t>
  </si>
  <si>
    <t>Vicedirector de Primaria J.S.</t>
  </si>
  <si>
    <t>Maestro Secretario Primario J.S.</t>
  </si>
  <si>
    <t>Maestro de Apoyo</t>
  </si>
  <si>
    <t>Maestro de Grado J.S.</t>
  </si>
  <si>
    <t>Maestro Bibliotecario J.S.</t>
  </si>
  <si>
    <t>Hora Cátedra Maestro Especial Primario</t>
  </si>
  <si>
    <t>Director de N. Inicial J.C.</t>
  </si>
  <si>
    <t>Vicedirector de N. Inicial J.C.</t>
  </si>
  <si>
    <t>Maestro Secretario N. Inicial J.C.</t>
  </si>
  <si>
    <t>Hora Cátedra Mtro. Especial N.I. J.C.</t>
  </si>
  <si>
    <t>Maestro Bibliotecario</t>
  </si>
  <si>
    <t>DESCRIPCIÓN DEL CARGO</t>
  </si>
  <si>
    <t>PERSONAL PROGRAMATICO NIVEL INICIAL Jornada Simple</t>
  </si>
  <si>
    <t>Orden</t>
  </si>
  <si>
    <t>PERSONAL PROGRAMATICO NIVEL E.G.B. - PRIMARIO J. Simple</t>
  </si>
  <si>
    <t>PERSONAL PROGRAMATICO NIVEL INICIAL Jornada Completa</t>
  </si>
  <si>
    <t>PERSONAL PROGRAMATICO NIVEL E.G.B.-PRIMARIO J. Compl</t>
  </si>
  <si>
    <t>Director de Primaria J.C.</t>
  </si>
  <si>
    <t>Vicedirector de Primaria J.C.</t>
  </si>
  <si>
    <t>Mtro. Secretario de Primario J.C.</t>
  </si>
  <si>
    <t>Maestro de Grado J.C.</t>
  </si>
  <si>
    <t>Maestro de Apoyo J.C.</t>
  </si>
  <si>
    <t>Hora Cátedra de Mtro Especial de Prim J.C.</t>
  </si>
  <si>
    <t>PERSONAL PROGRAMATICO NIVEL E.G.B. - PRIMARIO de Adultos</t>
  </si>
  <si>
    <t>Director de Primaria de Adultos</t>
  </si>
  <si>
    <t>Maestro Secretario Prim de adultos</t>
  </si>
  <si>
    <t>Maestro de Grado o Ciclo de adultos</t>
  </si>
  <si>
    <t>Maestro Mat. Complementarias</t>
  </si>
  <si>
    <t>Hora cátedra Mtro. Especial Prim de Adultos</t>
  </si>
  <si>
    <t xml:space="preserve">PERSONAL PROGRAMATICO EDUCACIÓN ESPECIAL </t>
  </si>
  <si>
    <t xml:space="preserve">Director Ed Especial J.C. </t>
  </si>
  <si>
    <t xml:space="preserve">Director Ed Especial J.S. </t>
  </si>
  <si>
    <t xml:space="preserve">Vicedirector Ed Especial J.S. </t>
  </si>
  <si>
    <t>Maestro Secretario Ed. Especial J.S.</t>
  </si>
  <si>
    <t>Maestro Reeducador Vocal</t>
  </si>
  <si>
    <t>Maestro Reeducador Acústico</t>
  </si>
  <si>
    <t>Maestro Asistente Social</t>
  </si>
  <si>
    <t>Maestro Terapista Ocupacional</t>
  </si>
  <si>
    <t>Maestro Psicólogo</t>
  </si>
  <si>
    <t xml:space="preserve">Maestro de Actividades Práct. </t>
  </si>
  <si>
    <t>Preceptor - Maestro Celador</t>
  </si>
  <si>
    <t>Maestro de Grupo Escolar Auxiliar</t>
  </si>
  <si>
    <t>Ayud. Clases/Trabajos Prácticos</t>
  </si>
  <si>
    <t>Maestro Gabinetista Psicotéc.</t>
  </si>
  <si>
    <t>Hora Maestro de Grado o Grupo</t>
  </si>
  <si>
    <t>Hora Mtro. Reed. Vocal</t>
  </si>
  <si>
    <t>Hora Mtro. Reed. Acústico</t>
  </si>
  <si>
    <t>Hora Mtro. Asistente Social</t>
  </si>
  <si>
    <t>Hora Mtro. Psicólogo</t>
  </si>
  <si>
    <t>Hora Mtro. Act. Prácticas</t>
  </si>
  <si>
    <t>Hora Mtro. De Materias Especiales</t>
  </si>
  <si>
    <t>Hora Mtro. Gabinetista</t>
  </si>
  <si>
    <t>PERSONAL PROGRAMATICO NIVEL MEDIO COMÚN</t>
  </si>
  <si>
    <t>Rector</t>
  </si>
  <si>
    <t>Director de Estudios</t>
  </si>
  <si>
    <t>Secretario</t>
  </si>
  <si>
    <t>Prosecretario</t>
  </si>
  <si>
    <t>Bibliotecario</t>
  </si>
  <si>
    <t>Ayudante de Dto. De Orientación</t>
  </si>
  <si>
    <t>Jefe de Preceptores</t>
  </si>
  <si>
    <t>Sub-Jefe de Preceptores</t>
  </si>
  <si>
    <t>Ayudante de Clases Prácticas</t>
  </si>
  <si>
    <t>Psicopedagogo</t>
  </si>
  <si>
    <t xml:space="preserve">Preceptor </t>
  </si>
  <si>
    <t>Hora cátedra</t>
  </si>
  <si>
    <t>SI</t>
  </si>
  <si>
    <t>NO</t>
  </si>
  <si>
    <t>Opciones</t>
  </si>
  <si>
    <t>Retenciones con Caja Compl.</t>
  </si>
  <si>
    <t>Retenciones sin Caja Compl.</t>
  </si>
  <si>
    <t>Enseñanza Especial J.Completa</t>
  </si>
  <si>
    <t>Enseñanza Especial J. Simple</t>
  </si>
  <si>
    <t>Tener presente que en caso de agregar cargos a algun nivel se debera redefinir el rango del mismo</t>
  </si>
  <si>
    <t>Código del cargo</t>
  </si>
  <si>
    <t>Regente</t>
  </si>
  <si>
    <t>PERSONAL PROGRAMATICO NIVEL MEDIO TÉCNICO</t>
  </si>
  <si>
    <t xml:space="preserve">Jefe Gral.Ens.Práct. </t>
  </si>
  <si>
    <t>Jefe de Laboratorio</t>
  </si>
  <si>
    <t>Maestro de Ens. Práctica</t>
  </si>
  <si>
    <t>Mtro. De Ens. Práct. Jefe de Secc.</t>
  </si>
  <si>
    <t>Mtro. Ayud. De Ens. Práctica</t>
  </si>
  <si>
    <t>Ayudante Téc. De Trab. Práct.</t>
  </si>
  <si>
    <t>PERSONAL PROGRAMATICO NIVEL MEDIO TIEMPO COMPLETO</t>
  </si>
  <si>
    <t>Rector N Medio T. Completo</t>
  </si>
  <si>
    <t>Director de Estudios N Medio T.Completo</t>
  </si>
  <si>
    <t>Asesor Pedagógico</t>
  </si>
  <si>
    <t>Ayudante de Orientación</t>
  </si>
  <si>
    <t xml:space="preserve">Profesor Tiempo Completo </t>
  </si>
  <si>
    <t>Profesor Tiempo Parcial 1 (30 horas)</t>
  </si>
  <si>
    <t>Profesor Tiempo Parcial 2 (24 horas)</t>
  </si>
  <si>
    <t>Profesor Tiempo Parcial 3 (18 horas)</t>
  </si>
  <si>
    <t>Profesor Tiempo Parcial 4 (12 horas)</t>
  </si>
  <si>
    <t>PERSONAL PROGRAMATICO  ENFERMERÍA NIVEL MEDIO</t>
  </si>
  <si>
    <t>Instructor de Enfermería</t>
  </si>
  <si>
    <t>PERSONAL PROGRAMATICO  NIVEL SUPERIOR DOCENTE</t>
  </si>
  <si>
    <t>Rector N Superior Docente</t>
  </si>
  <si>
    <t>Vicerrector o Director de Estud.</t>
  </si>
  <si>
    <t>Profesor Jefe de Trab. Prácticos</t>
  </si>
  <si>
    <t>Profesor Asistente de Trab.Pract.</t>
  </si>
  <si>
    <t>Pro-Secretario</t>
  </si>
  <si>
    <t>Bedel</t>
  </si>
  <si>
    <t>Ayudante de Trabajos Práct.</t>
  </si>
  <si>
    <t>PERSONAL PROGRAMATICO  NIVEL SUP. TÉCNICO-ENFERMERÍA</t>
  </si>
  <si>
    <t>Profesor de Enfermería (Instructor 36 HC)</t>
  </si>
  <si>
    <t>Presentismo (Estímulo Art. 4º)</t>
  </si>
  <si>
    <t>Valor Índice Docente</t>
  </si>
  <si>
    <t>Hora Cátedra N. Sup.</t>
  </si>
  <si>
    <t>Secretario N. Sup.</t>
  </si>
  <si>
    <t>Superior Técnico Enfermería</t>
  </si>
  <si>
    <t>Enfermería Nivel Medio</t>
  </si>
  <si>
    <t>Rector N Tecnico-Enfermería</t>
  </si>
  <si>
    <t>Bedel N Tecnico-Enfermería</t>
  </si>
  <si>
    <t>Vicerrector o Director Estudios N.Tec.Enf.</t>
  </si>
  <si>
    <t>Bibliotecario Sup.</t>
  </si>
  <si>
    <t>Mtro. Secretario EE J.C.</t>
  </si>
  <si>
    <t>TOTAL INDICES</t>
  </si>
  <si>
    <t>Psicopedagogo T.C.</t>
  </si>
  <si>
    <t>Minimo
Garantizado</t>
  </si>
  <si>
    <t>Comp. Mínimo Garantizado</t>
  </si>
  <si>
    <t>Interprete de Lengua de Señas</t>
  </si>
  <si>
    <t>Maestro de Apoyo para Integración J.S.</t>
  </si>
  <si>
    <t>Maestra de Apoyo para Integración J.S.</t>
  </si>
  <si>
    <t>Sueldo Básico Unificado</t>
  </si>
  <si>
    <t>APORTE SINDICAL 2%</t>
  </si>
  <si>
    <t>CARGA HORARIA (HS. CAT.)</t>
  </si>
  <si>
    <t>Horas</t>
  </si>
  <si>
    <t>Indice Básico Unificado</t>
  </si>
  <si>
    <t>Total NO Remunerativo</t>
  </si>
  <si>
    <t>Plus
Jerarquiz.</t>
  </si>
  <si>
    <t>Plus
Establecimiento</t>
  </si>
  <si>
    <t>Tipología de establecimiento</t>
  </si>
  <si>
    <t>TIPOLOGÍA DE ESTABLEC. %</t>
  </si>
  <si>
    <t>Ayudante de Clases Prácticas NS</t>
  </si>
  <si>
    <t xml:space="preserve">Vicedirector Ed Especial J.C. </t>
  </si>
  <si>
    <t>Parte Remunerativa que no
entra en el CMG</t>
  </si>
  <si>
    <t>SUMA FIJA NR NB (BONO)</t>
  </si>
  <si>
    <t>M.Gr. o Grupo Escolar (incluye M Integr y M Aux Gru)</t>
  </si>
  <si>
    <t>Dec 483/05</t>
  </si>
  <si>
    <t>Jornada</t>
  </si>
  <si>
    <t>S</t>
  </si>
  <si>
    <t>C</t>
  </si>
  <si>
    <t>H</t>
  </si>
  <si>
    <t>Piso</t>
  </si>
  <si>
    <t>MAT. DID.
NR NB 60%</t>
  </si>
  <si>
    <t>MAT. DID. R
R NB &gt; 60%</t>
  </si>
  <si>
    <t>MAT. DID NR JS</t>
  </si>
  <si>
    <t>MAT. DID NR JC</t>
  </si>
  <si>
    <t>MAT. DID NR X HS</t>
  </si>
  <si>
    <t>MAT. DID R JS</t>
  </si>
  <si>
    <t>MAT. DID R JC</t>
  </si>
  <si>
    <t>MAT. DID R X HS</t>
  </si>
  <si>
    <t>ADICIONAL ESPECIAL NR NB JS</t>
  </si>
  <si>
    <t>ADICIONAL ESPECIAL NR NB JC</t>
  </si>
  <si>
    <t>ADICIONAL ESPECIAL NR NB X H</t>
  </si>
  <si>
    <t>Topes</t>
  </si>
  <si>
    <t>2 cargos</t>
  </si>
  <si>
    <t>38 hs</t>
  </si>
  <si>
    <t>30 hs I-P-M / 24 HS SUP.</t>
  </si>
  <si>
    <t>Mínimo.Garantia.J.S.</t>
  </si>
  <si>
    <t>Mínimo.Garantia.J.C.</t>
  </si>
  <si>
    <t>Mínimo.Garantia x hs</t>
  </si>
  <si>
    <t>Decreto 483/05 y Modif.</t>
  </si>
  <si>
    <t>Material Didáctico R</t>
  </si>
  <si>
    <t>Material Didáctico</t>
  </si>
  <si>
    <t>Referente ACAP</t>
  </si>
  <si>
    <t>RETIENE CAJA COMPL.</t>
  </si>
  <si>
    <t>Maestro Especialista Nivel Inicial J.S.</t>
  </si>
  <si>
    <t>Maestro Coord. de Tray. Esc. Nivel Primario J.S.</t>
  </si>
  <si>
    <t>Maestro Especialista Nivel Inicial J.C.</t>
  </si>
  <si>
    <t>Maestro Especialista Nivel Primario J.S.</t>
  </si>
  <si>
    <t>Maestro Especialista Nivel Primario J.C.</t>
  </si>
  <si>
    <t>Maestro Coord. de Tray. Esc. Nivel Primario J.C.</t>
  </si>
  <si>
    <t>COMPENSACION FIJA PROP. NR JS</t>
  </si>
  <si>
    <t>COMPENSACION FIJA PROP. NR JC</t>
  </si>
  <si>
    <t>COMPENSACION FIJA PROP. NR X H</t>
  </si>
  <si>
    <t>Comp. Fija Prop. (CFP)</t>
  </si>
  <si>
    <t>SUMA FIJA NO REM JS</t>
  </si>
  <si>
    <t>SUMA FIJA NO REM JC</t>
  </si>
  <si>
    <t>SUMA FIJA NO REM x hs</t>
  </si>
  <si>
    <t>SUMA
FIJA</t>
  </si>
  <si>
    <t>2 cargos o 38 hs</t>
  </si>
  <si>
    <t>Suma Fija NR NB</t>
  </si>
  <si>
    <t>MARZO 2024</t>
  </si>
  <si>
    <t>COMP TRANSITORIA JS</t>
  </si>
  <si>
    <t>COMP TRANSITORIA JC</t>
  </si>
  <si>
    <t>COMP TRANSITORIA X HS</t>
  </si>
  <si>
    <t>Compensación Transitoria</t>
  </si>
  <si>
    <t>Base Imponible Máxima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</si>
</sst>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0.000"/>
    <numFmt numFmtId="166" formatCode="0.0000"/>
    <numFmt numFmtId="167" formatCode="0.0000000000"/>
    <numFmt numFmtId="168" formatCode="0.0000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2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0"/>
      <name val="Arial"/>
      <family val="2"/>
    </font>
    <font>
      <b/>
      <sz val="12"/>
      <color indexed="12"/>
      <name val="Arial Black"/>
      <family val="2"/>
    </font>
    <font>
      <b/>
      <sz val="16"/>
      <color rgb="FFFF0000"/>
      <name val="Trebuchet MS"/>
      <family val="2"/>
    </font>
    <font>
      <sz val="20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0"/>
      <name val="Trebuchet MS"/>
      <family val="2"/>
    </font>
    <font>
      <sz val="11"/>
      <color indexed="8"/>
      <name val="Trebuchet MS"/>
      <family val="2"/>
    </font>
    <font>
      <b/>
      <sz val="11"/>
      <color indexed="8"/>
      <name val="Trebuchet MS"/>
      <family val="2"/>
    </font>
    <font>
      <b/>
      <sz val="11"/>
      <color theme="0"/>
      <name val="Trebuchet MS"/>
      <family val="2"/>
    </font>
    <font>
      <sz val="11"/>
      <color theme="0"/>
      <name val="Calibri"/>
      <family val="2"/>
      <scheme val="minor"/>
    </font>
    <font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2"/>
      <color theme="0"/>
      <name val="Trebuchet MS"/>
      <family val="2"/>
    </font>
    <font>
      <b/>
      <sz val="11"/>
      <name val="Arial"/>
      <family val="2"/>
    </font>
    <font>
      <sz val="12"/>
      <color theme="0"/>
      <name val="Book Antiqua"/>
      <family val="1"/>
    </font>
  </fonts>
  <fills count="2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theme="4" tint="0.79998168889431442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/>
      <bottom style="thin">
        <color theme="3" tint="0.59999389629810485"/>
      </bottom>
      <diagonal/>
    </border>
    <border>
      <left style="thin">
        <color theme="3" tint="0.59999389629810485"/>
      </left>
      <right/>
      <top/>
      <bottom style="thin">
        <color theme="3" tint="0.59999389629810485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/>
      <top style="thin">
        <color theme="3" tint="0.59999389629810485"/>
      </top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" fillId="17" borderId="0" applyNumberFormat="0" applyBorder="0" applyAlignment="0" applyProtection="0"/>
  </cellStyleXfs>
  <cellXfs count="153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164" fontId="3" fillId="2" borderId="4" xfId="0" applyNumberFormat="1" applyFont="1" applyFill="1" applyBorder="1" applyAlignment="1" applyProtection="1">
      <alignment horizontal="center"/>
    </xf>
    <xf numFmtId="164" fontId="3" fillId="2" borderId="5" xfId="0" applyNumberFormat="1" applyFont="1" applyFill="1" applyBorder="1" applyAlignment="1" applyProtection="1">
      <alignment horizontal="left"/>
    </xf>
    <xf numFmtId="164" fontId="3" fillId="3" borderId="6" xfId="0" applyNumberFormat="1" applyFont="1" applyFill="1" applyBorder="1" applyAlignment="1" applyProtection="1">
      <alignment horizontal="left"/>
    </xf>
    <xf numFmtId="164" fontId="3" fillId="0" borderId="7" xfId="0" applyNumberFormat="1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164" fontId="3" fillId="3" borderId="8" xfId="0" applyNumberFormat="1" applyFont="1" applyFill="1" applyBorder="1" applyAlignment="1" applyProtection="1">
      <alignment horizontal="left"/>
    </xf>
    <xf numFmtId="0" fontId="4" fillId="0" borderId="7" xfId="0" applyFont="1" applyBorder="1" applyAlignment="1">
      <alignment horizontal="justify" vertical="top" wrapText="1"/>
    </xf>
    <xf numFmtId="0" fontId="4" fillId="0" borderId="7" xfId="0" applyFont="1" applyBorder="1" applyAlignment="1">
      <alignment vertical="top" wrapText="1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2" borderId="0" xfId="0" applyFill="1" applyAlignment="1">
      <alignment horizontal="left"/>
    </xf>
    <xf numFmtId="0" fontId="6" fillId="0" borderId="0" xfId="0" applyFont="1" applyProtection="1">
      <protection hidden="1"/>
    </xf>
    <xf numFmtId="0" fontId="7" fillId="0" borderId="0" xfId="0" applyFont="1" applyAlignment="1" applyProtection="1">
      <alignment horizontal="left"/>
      <protection hidden="1"/>
    </xf>
    <xf numFmtId="0" fontId="8" fillId="0" borderId="0" xfId="0" applyFo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8" fillId="0" borderId="0" xfId="0" applyFont="1" applyAlignme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4" fillId="0" borderId="9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wrapText="1"/>
    </xf>
    <xf numFmtId="164" fontId="3" fillId="3" borderId="1" xfId="0" applyNumberFormat="1" applyFont="1" applyFill="1" applyBorder="1" applyAlignment="1" applyProtection="1">
      <alignment horizontal="center"/>
    </xf>
    <xf numFmtId="2" fontId="0" fillId="0" borderId="0" xfId="0" applyNumberForma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0" borderId="9" xfId="0" applyNumberFormat="1" applyFont="1" applyBorder="1" applyAlignment="1" applyProtection="1">
      <alignment horizontal="center"/>
    </xf>
    <xf numFmtId="1" fontId="0" fillId="0" borderId="0" xfId="0" applyNumberFormat="1"/>
    <xf numFmtId="1" fontId="0" fillId="6" borderId="0" xfId="0" applyNumberFormat="1" applyFill="1"/>
    <xf numFmtId="0" fontId="4" fillId="0" borderId="7" xfId="0" applyFont="1" applyFill="1" applyBorder="1" applyAlignment="1">
      <alignment vertical="top" wrapText="1"/>
    </xf>
    <xf numFmtId="164" fontId="3" fillId="0" borderId="7" xfId="0" applyNumberFormat="1" applyFont="1" applyFill="1" applyBorder="1" applyAlignment="1" applyProtection="1">
      <alignment horizontal="left"/>
    </xf>
    <xf numFmtId="0" fontId="0" fillId="6" borderId="0" xfId="0" applyFill="1"/>
    <xf numFmtId="2" fontId="0" fillId="6" borderId="0" xfId="0" applyNumberFormat="1" applyFill="1"/>
    <xf numFmtId="2" fontId="0" fillId="7" borderId="0" xfId="0" applyNumberFormat="1" applyFill="1"/>
    <xf numFmtId="166" fontId="0" fillId="0" borderId="1" xfId="0" applyNumberFormat="1" applyBorder="1"/>
    <xf numFmtId="0" fontId="10" fillId="0" borderId="0" xfId="0" applyFont="1" applyBorder="1" applyAlignment="1" applyProtection="1">
      <alignment horizontal="center"/>
      <protection hidden="1"/>
    </xf>
    <xf numFmtId="0" fontId="10" fillId="0" borderId="0" xfId="0" applyFont="1" applyBorder="1" applyAlignment="1" applyProtection="1">
      <protection hidden="1"/>
    </xf>
    <xf numFmtId="0" fontId="11" fillId="0" borderId="0" xfId="0" applyFont="1" applyBorder="1" applyAlignment="1" applyProtection="1">
      <protection hidden="1"/>
    </xf>
    <xf numFmtId="2" fontId="8" fillId="0" borderId="0" xfId="0" applyNumberFormat="1" applyFont="1" applyProtection="1">
      <protection hidden="1"/>
    </xf>
    <xf numFmtId="49" fontId="2" fillId="0" borderId="1" xfId="0" applyNumberFormat="1" applyFont="1" applyBorder="1"/>
    <xf numFmtId="0" fontId="14" fillId="0" borderId="0" xfId="0" applyFont="1" applyProtection="1"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center"/>
      <protection hidden="1"/>
    </xf>
    <xf numFmtId="0" fontId="15" fillId="5" borderId="0" xfId="0" applyFont="1" applyFill="1" applyBorder="1" applyAlignment="1" applyProtection="1">
      <protection hidden="1"/>
    </xf>
    <xf numFmtId="2" fontId="15" fillId="5" borderId="0" xfId="0" applyNumberFormat="1" applyFont="1" applyFill="1" applyBorder="1" applyAlignment="1" applyProtection="1">
      <protection hidden="1"/>
    </xf>
    <xf numFmtId="0" fontId="17" fillId="0" borderId="0" xfId="0" applyFont="1" applyFill="1" applyAlignment="1" applyProtection="1">
      <protection hidden="1"/>
    </xf>
    <xf numFmtId="0" fontId="14" fillId="0" borderId="0" xfId="0" applyFont="1" applyAlignment="1" applyProtection="1">
      <protection hidden="1"/>
    </xf>
    <xf numFmtId="0" fontId="18" fillId="0" borderId="0" xfId="0" applyFont="1" applyFill="1" applyProtection="1">
      <protection hidden="1"/>
    </xf>
    <xf numFmtId="0" fontId="17" fillId="0" borderId="0" xfId="0" applyFont="1" applyFill="1" applyProtection="1">
      <protection hidden="1"/>
    </xf>
    <xf numFmtId="0" fontId="19" fillId="0" borderId="15" xfId="0" applyFont="1" applyFill="1" applyBorder="1" applyAlignment="1" applyProtection="1">
      <alignment horizontal="center"/>
      <protection hidden="1"/>
    </xf>
    <xf numFmtId="0" fontId="19" fillId="0" borderId="16" xfId="0" applyFont="1" applyFill="1" applyBorder="1" applyAlignment="1" applyProtection="1">
      <alignment horizontal="center"/>
      <protection hidden="1"/>
    </xf>
    <xf numFmtId="0" fontId="15" fillId="0" borderId="16" xfId="0" applyFont="1" applyFill="1" applyBorder="1" applyAlignment="1" applyProtection="1">
      <alignment horizontal="center"/>
      <protection hidden="1"/>
    </xf>
    <xf numFmtId="0" fontId="15" fillId="0" borderId="17" xfId="0" applyFont="1" applyFill="1" applyBorder="1" applyAlignment="1" applyProtection="1">
      <alignment horizontal="center"/>
      <protection hidden="1"/>
    </xf>
    <xf numFmtId="0" fontId="17" fillId="0" borderId="18" xfId="0" applyFont="1" applyFill="1" applyBorder="1" applyAlignment="1" applyProtection="1">
      <alignment horizontal="center"/>
      <protection hidden="1"/>
    </xf>
    <xf numFmtId="2" fontId="14" fillId="0" borderId="18" xfId="0" applyNumberFormat="1" applyFont="1" applyFill="1" applyBorder="1" applyAlignment="1" applyProtection="1">
      <alignment horizontal="center"/>
      <protection hidden="1"/>
    </xf>
    <xf numFmtId="2" fontId="14" fillId="0" borderId="14" xfId="0" applyNumberFormat="1" applyFont="1" applyFill="1" applyBorder="1" applyAlignment="1" applyProtection="1">
      <alignment horizontal="center"/>
      <protection hidden="1"/>
    </xf>
    <xf numFmtId="2" fontId="14" fillId="0" borderId="19" xfId="0" applyNumberFormat="1" applyFont="1" applyFill="1" applyBorder="1" applyAlignment="1" applyProtection="1">
      <alignment horizontal="center"/>
      <protection hidden="1"/>
    </xf>
    <xf numFmtId="2" fontId="15" fillId="0" borderId="18" xfId="0" applyNumberFormat="1" applyFont="1" applyFill="1" applyBorder="1" applyAlignment="1" applyProtection="1">
      <alignment horizontal="center"/>
      <protection hidden="1"/>
    </xf>
    <xf numFmtId="2" fontId="19" fillId="13" borderId="18" xfId="3" applyNumberFormat="1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2" fontId="21" fillId="0" borderId="12" xfId="0" applyNumberFormat="1" applyFont="1" applyBorder="1" applyProtection="1">
      <protection hidden="1"/>
    </xf>
    <xf numFmtId="2" fontId="21" fillId="12" borderId="12" xfId="0" applyNumberFormat="1" applyFont="1" applyFill="1" applyBorder="1" applyProtection="1">
      <protection hidden="1"/>
    </xf>
    <xf numFmtId="0" fontId="19" fillId="13" borderId="0" xfId="0" applyFont="1" applyFill="1" applyProtection="1">
      <protection hidden="1"/>
    </xf>
    <xf numFmtId="0" fontId="19" fillId="13" borderId="18" xfId="0" applyFont="1" applyFill="1" applyBorder="1" applyAlignment="1" applyProtection="1">
      <alignment horizontal="center"/>
      <protection hidden="1"/>
    </xf>
    <xf numFmtId="0" fontId="19" fillId="13" borderId="14" xfId="0" applyFont="1" applyFill="1" applyBorder="1" applyAlignment="1" applyProtection="1">
      <alignment horizontal="center"/>
      <protection hidden="1"/>
    </xf>
    <xf numFmtId="0" fontId="19" fillId="13" borderId="19" xfId="0" applyFont="1" applyFill="1" applyBorder="1" applyAlignment="1" applyProtection="1">
      <alignment horizontal="center"/>
      <protection hidden="1"/>
    </xf>
    <xf numFmtId="0" fontId="2" fillId="4" borderId="0" xfId="0" applyFont="1" applyFill="1"/>
    <xf numFmtId="2" fontId="19" fillId="16" borderId="12" xfId="0" applyNumberFormat="1" applyFont="1" applyFill="1" applyBorder="1" applyProtection="1">
      <protection hidden="1"/>
    </xf>
    <xf numFmtId="2" fontId="22" fillId="0" borderId="12" xfId="0" applyNumberFormat="1" applyFont="1" applyBorder="1" applyProtection="1">
      <protection hidden="1"/>
    </xf>
    <xf numFmtId="2" fontId="27" fillId="14" borderId="13" xfId="0" applyNumberFormat="1" applyFont="1" applyFill="1" applyBorder="1" applyAlignment="1" applyProtection="1">
      <alignment horizontal="center" vertical="center"/>
      <protection hidden="1"/>
    </xf>
    <xf numFmtId="2" fontId="27" fillId="15" borderId="13" xfId="1" applyNumberFormat="1" applyFont="1" applyFill="1" applyBorder="1" applyAlignment="1" applyProtection="1">
      <alignment horizontal="center" vertical="center"/>
      <protection hidden="1"/>
    </xf>
    <xf numFmtId="9" fontId="18" fillId="0" borderId="14" xfId="0" applyNumberFormat="1" applyFont="1" applyFill="1" applyBorder="1" applyAlignment="1" applyProtection="1">
      <alignment horizontal="center"/>
      <protection hidden="1"/>
    </xf>
    <xf numFmtId="9" fontId="15" fillId="0" borderId="14" xfId="0" applyNumberFormat="1" applyFont="1" applyFill="1" applyBorder="1" applyAlignment="1" applyProtection="1">
      <alignment horizontal="center"/>
      <protection hidden="1"/>
    </xf>
    <xf numFmtId="9" fontId="15" fillId="0" borderId="19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left"/>
    </xf>
    <xf numFmtId="0" fontId="0" fillId="22" borderId="0" xfId="0" applyFill="1"/>
    <xf numFmtId="2" fontId="0" fillId="22" borderId="0" xfId="0" applyNumberFormat="1" applyFill="1"/>
    <xf numFmtId="2" fontId="0" fillId="0" borderId="1" xfId="0" applyNumberFormat="1" applyFill="1" applyBorder="1"/>
    <xf numFmtId="0" fontId="0" fillId="20" borderId="1" xfId="0" applyFill="1" applyBorder="1"/>
    <xf numFmtId="2" fontId="0" fillId="20" borderId="1" xfId="0" applyNumberFormat="1" applyFill="1" applyBorder="1"/>
    <xf numFmtId="166" fontId="0" fillId="20" borderId="1" xfId="0" applyNumberFormat="1" applyFill="1" applyBorder="1"/>
    <xf numFmtId="2" fontId="21" fillId="0" borderId="12" xfId="0" applyNumberFormat="1" applyFont="1" applyFill="1" applyBorder="1" applyProtection="1">
      <protection hidden="1"/>
    </xf>
    <xf numFmtId="2" fontId="23" fillId="0" borderId="12" xfId="0" applyNumberFormat="1" applyFont="1" applyFill="1" applyBorder="1" applyProtection="1">
      <protection hidden="1"/>
    </xf>
    <xf numFmtId="166" fontId="0" fillId="21" borderId="0" xfId="0" applyNumberFormat="1" applyFill="1" applyBorder="1"/>
    <xf numFmtId="0" fontId="0" fillId="0" borderId="1" xfId="0" applyFill="1" applyBorder="1"/>
    <xf numFmtId="0" fontId="3" fillId="0" borderId="1" xfId="0" applyFont="1" applyBorder="1"/>
    <xf numFmtId="2" fontId="3" fillId="0" borderId="1" xfId="0" applyNumberFormat="1" applyFont="1" applyBorder="1"/>
    <xf numFmtId="0" fontId="0" fillId="0" borderId="20" xfId="0" applyBorder="1"/>
    <xf numFmtId="167" fontId="0" fillId="0" borderId="20" xfId="0" applyNumberFormat="1" applyBorder="1"/>
    <xf numFmtId="0" fontId="0" fillId="0" borderId="6" xfId="0" applyBorder="1"/>
    <xf numFmtId="2" fontId="0" fillId="0" borderId="21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8" xfId="0" applyBorder="1"/>
    <xf numFmtId="0" fontId="0" fillId="0" borderId="23" xfId="0" applyBorder="1" applyAlignment="1">
      <alignment horizontal="center"/>
    </xf>
    <xf numFmtId="0" fontId="0" fillId="0" borderId="24" xfId="0" applyBorder="1"/>
    <xf numFmtId="2" fontId="0" fillId="0" borderId="25" xfId="0" applyNumberFormat="1" applyBorder="1"/>
    <xf numFmtId="0" fontId="0" fillId="0" borderId="26" xfId="0" applyBorder="1"/>
    <xf numFmtId="0" fontId="0" fillId="0" borderId="27" xfId="0" applyBorder="1" applyAlignment="1">
      <alignment horizontal="center"/>
    </xf>
    <xf numFmtId="2" fontId="0" fillId="0" borderId="2" xfId="0" applyNumberFormat="1" applyBorder="1"/>
    <xf numFmtId="166" fontId="0" fillId="0" borderId="25" xfId="0" applyNumberFormat="1" applyBorder="1"/>
    <xf numFmtId="0" fontId="0" fillId="0" borderId="28" xfId="0" applyBorder="1"/>
    <xf numFmtId="0" fontId="0" fillId="0" borderId="0" xfId="0" applyBorder="1"/>
    <xf numFmtId="0" fontId="2" fillId="0" borderId="6" xfId="0" applyFont="1" applyBorder="1" applyAlignment="1">
      <alignment horizontal="left"/>
    </xf>
    <xf numFmtId="166" fontId="0" fillId="0" borderId="28" xfId="0" applyNumberFormat="1" applyBorder="1"/>
    <xf numFmtId="0" fontId="2" fillId="0" borderId="8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166" fontId="0" fillId="0" borderId="26" xfId="0" applyNumberFormat="1" applyBorder="1"/>
    <xf numFmtId="2" fontId="0" fillId="0" borderId="20" xfId="0" applyNumberFormat="1" applyBorder="1"/>
    <xf numFmtId="165" fontId="0" fillId="0" borderId="21" xfId="0" applyNumberFormat="1" applyFill="1" applyBorder="1"/>
    <xf numFmtId="0" fontId="0" fillId="0" borderId="28" xfId="0" applyFill="1" applyBorder="1"/>
    <xf numFmtId="0" fontId="0" fillId="0" borderId="0" xfId="0" applyFill="1" applyBorder="1"/>
    <xf numFmtId="0" fontId="28" fillId="23" borderId="3" xfId="0" applyFont="1" applyFill="1" applyBorder="1"/>
    <xf numFmtId="0" fontId="28" fillId="23" borderId="3" xfId="0" applyFont="1" applyFill="1" applyBorder="1" applyAlignment="1">
      <alignment horizontal="center"/>
    </xf>
    <xf numFmtId="0" fontId="28" fillId="23" borderId="1" xfId="0" applyFont="1" applyFill="1" applyBorder="1"/>
    <xf numFmtId="2" fontId="22" fillId="24" borderId="18" xfId="2" applyNumberFormat="1" applyFont="1" applyFill="1" applyBorder="1" applyAlignment="1" applyProtection="1">
      <alignment horizontal="center"/>
      <protection hidden="1"/>
    </xf>
    <xf numFmtId="2" fontId="0" fillId="0" borderId="25" xfId="0" applyNumberFormat="1" applyFill="1" applyBorder="1"/>
    <xf numFmtId="2" fontId="6" fillId="0" borderId="0" xfId="0" applyNumberFormat="1" applyFont="1" applyProtection="1">
      <protection hidden="1"/>
    </xf>
    <xf numFmtId="0" fontId="29" fillId="0" borderId="0" xfId="0" applyFont="1" applyAlignment="1" applyProtection="1">
      <alignment wrapText="1"/>
      <protection hidden="1"/>
    </xf>
    <xf numFmtId="168" fontId="0" fillId="0" borderId="20" xfId="0" applyNumberFormat="1" applyBorder="1"/>
    <xf numFmtId="0" fontId="2" fillId="22" borderId="0" xfId="0" applyFont="1" applyFill="1" applyAlignment="1">
      <alignment horizontal="center" wrapText="1"/>
    </xf>
    <xf numFmtId="0" fontId="0" fillId="22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/>
    </xf>
    <xf numFmtId="0" fontId="0" fillId="21" borderId="0" xfId="0" applyFill="1" applyAlignment="1">
      <alignment horizontal="center" wrapText="1"/>
    </xf>
    <xf numFmtId="0" fontId="0" fillId="21" borderId="0" xfId="0" applyFill="1" applyAlignment="1">
      <alignment horizontal="center"/>
    </xf>
    <xf numFmtId="0" fontId="9" fillId="6" borderId="0" xfId="0" applyFont="1" applyFill="1" applyAlignment="1">
      <alignment horizontal="center" wrapText="1"/>
    </xf>
    <xf numFmtId="0" fontId="6" fillId="0" borderId="0" xfId="0" applyFont="1" applyAlignment="1" applyProtection="1">
      <alignment horizontal="center" vertical="center"/>
      <protection hidden="1"/>
    </xf>
    <xf numFmtId="0" fontId="26" fillId="18" borderId="14" xfId="0" applyFont="1" applyFill="1" applyBorder="1" applyAlignment="1" applyProtection="1">
      <alignment horizontal="center"/>
      <protection hidden="1"/>
    </xf>
    <xf numFmtId="0" fontId="15" fillId="0" borderId="0" xfId="0" applyFont="1" applyBorder="1" applyAlignment="1" applyProtection="1">
      <alignment horizontal="left" vertical="center"/>
      <protection hidden="1"/>
    </xf>
    <xf numFmtId="2" fontId="25" fillId="19" borderId="14" xfId="4" applyNumberFormat="1" applyFont="1" applyFill="1" applyBorder="1" applyAlignment="1" applyProtection="1">
      <alignment horizontal="center"/>
      <protection locked="0"/>
    </xf>
    <xf numFmtId="2" fontId="25" fillId="19" borderId="14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49" fontId="12" fillId="8" borderId="0" xfId="0" applyNumberFormat="1" applyFont="1" applyFill="1" applyAlignment="1">
      <alignment horizontal="center" vertical="center"/>
    </xf>
    <xf numFmtId="17" fontId="13" fillId="8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Alignment="1" applyProtection="1">
      <alignment horizontal="center" vertical="center"/>
      <protection hidden="1"/>
    </xf>
    <xf numFmtId="2" fontId="24" fillId="19" borderId="14" xfId="0" applyNumberFormat="1" applyFont="1" applyFill="1" applyBorder="1" applyAlignment="1" applyProtection="1">
      <alignment horizontal="center"/>
      <protection hidden="1"/>
    </xf>
    <xf numFmtId="168" fontId="23" fillId="19" borderId="14" xfId="4" applyNumberFormat="1" applyFont="1" applyFill="1" applyBorder="1" applyAlignment="1" applyProtection="1">
      <alignment horizontal="center"/>
      <protection hidden="1"/>
    </xf>
    <xf numFmtId="0" fontId="19" fillId="18" borderId="14" xfId="0" applyFont="1" applyFill="1" applyBorder="1" applyAlignment="1" applyProtection="1">
      <alignment horizontal="center"/>
      <protection hidden="1"/>
    </xf>
    <xf numFmtId="2" fontId="23" fillId="19" borderId="14" xfId="4" applyNumberFormat="1" applyFont="1" applyFill="1" applyBorder="1" applyAlignment="1" applyProtection="1">
      <alignment horizontal="center"/>
      <protection hidden="1"/>
    </xf>
    <xf numFmtId="166" fontId="0" fillId="0" borderId="0" xfId="0" applyNumberFormat="1" applyBorder="1"/>
    <xf numFmtId="0" fontId="29" fillId="0" borderId="0" xfId="0" applyFont="1" applyFill="1" applyProtection="1">
      <protection hidden="1"/>
    </xf>
    <xf numFmtId="2" fontId="29" fillId="0" borderId="0" xfId="0" applyNumberFormat="1" applyFont="1" applyFill="1" applyProtection="1">
      <protection hidden="1"/>
    </xf>
  </cellXfs>
  <cellStyles count="5">
    <cellStyle name="40% - Énfasis3" xfId="4" builtinId="39"/>
    <cellStyle name="Énfasis1" xfId="1" builtinId="29"/>
    <cellStyle name="Énfasis4" xfId="2" builtinId="41"/>
    <cellStyle name="Énfasis5" xfId="3" builtinId="45"/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/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>
        <left/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border>
        <top style="thin">
          <color theme="3" tint="0.59999389629810485"/>
        </top>
      </border>
    </dxf>
    <dxf>
      <border>
        <bottom style="thin">
          <color theme="3" tint="0.59999389629810485"/>
        </bottom>
      </border>
    </dxf>
    <dxf>
      <border diagonalUp="0" diagonalDown="0">
        <left style="thin">
          <color theme="3" tint="0.59999389629810485"/>
        </left>
        <right style="thin">
          <color theme="3" tint="0.59999389629810485"/>
        </right>
        <top style="thin">
          <color theme="3" tint="0.59999389629810485"/>
        </top>
        <bottom style="thin">
          <color theme="3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3" tint="0.59999389629810485"/>
        </left>
        <right style="thin">
          <color theme="3" tint="0.59999389629810485"/>
        </right>
        <top/>
        <bottom/>
        <vertical style="thin">
          <color theme="3" tint="0.59999389629810485"/>
        </vertical>
        <horizontal style="thin">
          <color theme="3" tint="0.59999389629810485"/>
        </horizontal>
      </border>
      <protection locked="1" hidden="1"/>
    </dxf>
    <dxf>
      <font>
        <color theme="0"/>
      </font>
      <fill>
        <patternFill>
          <bgColor theme="0"/>
        </patternFill>
      </fill>
      <border>
        <left/>
        <right/>
        <bottom/>
        <vertical/>
        <horizontal/>
      </border>
    </dxf>
  </dxfs>
  <tableStyles count="0" defaultTableStyle="TableStyleMedium9" defaultPivotStyle="PivotStyleLight16"/>
  <colors>
    <mruColors>
      <color rgb="FF003399"/>
      <color rgb="FF0000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8" name="AutoShape 241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304800</xdr:colOff>
      <xdr:row>8</xdr:row>
      <xdr:rowOff>57150</xdr:rowOff>
    </xdr:to>
    <xdr:sp macro="" textlink="">
      <xdr:nvSpPr>
        <xdr:cNvPr id="14049" name="AutoShape 242" descr="Resultado de imagen para ATENCION PNG"/>
        <xdr:cNvSpPr>
          <a:spLocks noChangeAspect="1" noChangeArrowheads="1"/>
        </xdr:cNvSpPr>
      </xdr:nvSpPr>
      <xdr:spPr bwMode="auto">
        <a:xfrm>
          <a:off x="0" y="2876550"/>
          <a:ext cx="3048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37</xdr:row>
      <xdr:rowOff>9525</xdr:rowOff>
    </xdr:from>
    <xdr:to>
      <xdr:col>12</xdr:col>
      <xdr:colOff>0</xdr:colOff>
      <xdr:row>37</xdr:row>
      <xdr:rowOff>1163954</xdr:rowOff>
    </xdr:to>
    <xdr:pic>
      <xdr:nvPicPr>
        <xdr:cNvPr id="8" name="7 Imagen" descr="pie Planill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918201"/>
          <a:ext cx="12954000" cy="1154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11206</xdr:colOff>
      <xdr:row>4</xdr:row>
      <xdr:rowOff>163830</xdr:rowOff>
    </xdr:to>
    <xdr:pic>
      <xdr:nvPicPr>
        <xdr:cNvPr id="7" name="6 Imagen" descr="sueldos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965206" cy="18895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B19:L37" totalsRowShown="0" headerRowDxfId="15" dataDxfId="14" headerRowBorderDxfId="12" tableBorderDxfId="13" totalsRowBorderDxfId="11">
  <tableColumns count="11">
    <tableColumn id="1" name="INICIAL" dataDxfId="10"/>
    <tableColumn id="2" name="1 AÑO" dataDxfId="9"/>
    <tableColumn id="3" name="4 AÑOS" dataDxfId="8"/>
    <tableColumn id="4" name="7 AÑOS" dataDxfId="7"/>
    <tableColumn id="5" name="10 AÑOS" dataDxfId="6"/>
    <tableColumn id="6" name="12 AÑOS" dataDxfId="5"/>
    <tableColumn id="7" name="14 AÑOS" dataDxfId="4"/>
    <tableColumn id="8" name="16 AÑOS" dataDxfId="3"/>
    <tableColumn id="9" name="18 AÑOS" dataDxfId="2"/>
    <tableColumn id="10" name="20 AÑOS" dataDxfId="1"/>
    <tableColumn id="11" name="22 AÑ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M163"/>
  <sheetViews>
    <sheetView showZeros="0" workbookViewId="0">
      <pane xSplit="1" ySplit="2" topLeftCell="B3" activePane="bottomRight" state="frozen"/>
      <selection pane="topRight" activeCell="D1" sqref="D1"/>
      <selection pane="bottomLeft" activeCell="A3" sqref="A3"/>
      <selection pane="bottomRight" activeCell="B3" sqref="B3"/>
    </sheetView>
  </sheetViews>
  <sheetFormatPr baseColWidth="10" defaultRowHeight="12.75" x14ac:dyDescent="0.2"/>
  <cols>
    <col min="1" max="1" width="58.7109375" customWidth="1"/>
    <col min="2" max="2" width="11.42578125" style="30"/>
    <col min="4" max="4" width="11.42578125" style="36"/>
    <col min="5" max="5" width="11.42578125" style="30"/>
    <col min="6" max="9" width="11.42578125" style="36"/>
    <col min="10" max="11" width="11.42578125" style="30"/>
    <col min="12" max="12" width="12.42578125" style="84" bestFit="1" customWidth="1"/>
    <col min="13" max="13" width="12.42578125" bestFit="1" customWidth="1"/>
  </cols>
  <sheetData>
    <row r="1" spans="1:13" ht="12.75" customHeight="1" x14ac:dyDescent="0.2">
      <c r="A1" s="4" t="s">
        <v>57</v>
      </c>
      <c r="B1" s="28" t="s">
        <v>15</v>
      </c>
      <c r="E1" s="30" t="s">
        <v>184</v>
      </c>
      <c r="F1" s="131" t="s">
        <v>163</v>
      </c>
      <c r="G1" s="81" t="s">
        <v>183</v>
      </c>
      <c r="H1" s="133" t="s">
        <v>189</v>
      </c>
      <c r="I1" s="133" t="s">
        <v>190</v>
      </c>
      <c r="J1" s="135" t="s">
        <v>174</v>
      </c>
      <c r="K1" s="135" t="s">
        <v>175</v>
      </c>
      <c r="L1" s="129" t="s">
        <v>225</v>
      </c>
      <c r="M1" s="30"/>
    </row>
    <row r="2" spans="1:13" ht="13.5" customHeight="1" thickBot="1" x14ac:dyDescent="0.25">
      <c r="A2" s="5"/>
      <c r="B2" s="29"/>
      <c r="D2" s="36" t="s">
        <v>161</v>
      </c>
      <c r="F2" s="132"/>
      <c r="G2" s="80"/>
      <c r="H2" s="134"/>
      <c r="I2" s="134"/>
      <c r="J2" s="132"/>
      <c r="K2" s="132"/>
      <c r="L2" s="130"/>
      <c r="M2" s="30"/>
    </row>
    <row r="3" spans="1:13" x14ac:dyDescent="0.2">
      <c r="A3" s="6" t="s">
        <v>58</v>
      </c>
      <c r="C3" s="26" t="s">
        <v>59</v>
      </c>
    </row>
    <row r="4" spans="1:13" x14ac:dyDescent="0.2">
      <c r="A4" s="7" t="s">
        <v>38</v>
      </c>
      <c r="B4" s="31">
        <v>528</v>
      </c>
      <c r="C4" s="8">
        <v>1</v>
      </c>
      <c r="D4" s="37">
        <v>1783</v>
      </c>
      <c r="E4" s="82" t="s">
        <v>185</v>
      </c>
      <c r="F4" s="37">
        <f>+IF(D4&gt;$D$19,Datos!$B$15,IF(Datos!$B$15/$D$19*D4&lt;Datos!$C$15,Datos!$C$15,Datos!$B$15/$D$19*D4))</f>
        <v>399369</v>
      </c>
      <c r="G4" s="37">
        <f>+IF($D4&gt;$D$19,Datos!$B$3,IF(Datos!$B$3/$D$19*$D4&lt;Datos!$C$3,Datos!$C$3,Datos!$B$3/$D$19*$D4))</f>
        <v>134127</v>
      </c>
      <c r="H4" s="37">
        <f>+IF($D4&gt;$D$19,Datos!$B$6,IF(Datos!$B$6/$D$19*$D4&lt;Datos!$C$6,Datos!$C$6,Datos!$B$6/$D$19*$D4))</f>
        <v>93905</v>
      </c>
      <c r="I4" s="37">
        <f>+IF($D4&gt;$D$19,Datos!$B$9,IF(Datos!$B$9/$D$19*$D4&lt;Datos!$C$9,Datos!$C$9,Datos!$B$9/$D$19*$D4))</f>
        <v>116361</v>
      </c>
      <c r="J4" s="30">
        <v>1</v>
      </c>
      <c r="K4" s="30">
        <v>1</v>
      </c>
      <c r="L4" s="85">
        <f>+IF(D4&lt;$D$19,Datos!$B$29/$D$19*D4,Datos!$B$29)</f>
        <v>16450</v>
      </c>
      <c r="M4" s="27"/>
    </row>
    <row r="5" spans="1:13" x14ac:dyDescent="0.2">
      <c r="A5" s="7" t="s">
        <v>39</v>
      </c>
      <c r="B5" s="31">
        <v>579</v>
      </c>
      <c r="C5" s="8">
        <v>2</v>
      </c>
      <c r="D5" s="37">
        <v>1545</v>
      </c>
      <c r="E5" s="82" t="s">
        <v>185</v>
      </c>
      <c r="F5" s="37">
        <f>+IF(D5&gt;$D$19,Datos!$B$15,IF(Datos!$B$15/$D$19*D5&lt;Datos!$C$15,Datos!$C$15,Datos!$B$15/$D$19*D5))</f>
        <v>399369</v>
      </c>
      <c r="G5" s="37">
        <f>+IF(D5&gt;$D$19,Datos!$B$3,IF(Datos!$B$3/$D$19*D5&lt;Datos!$C$3,Datos!$C$3,Datos!$B$3/$D$19*D5))</f>
        <v>134127</v>
      </c>
      <c r="H5" s="37">
        <f>+IF($D5&gt;$D$19,Datos!$B$6,IF(Datos!$B$6/$D$19*$D5&lt;Datos!$C$6,Datos!$C$6,Datos!$B$6/$D$19*$D5))</f>
        <v>93905</v>
      </c>
      <c r="I5" s="37">
        <f>+IF($D5&gt;$D$19,Datos!$B$9,IF(Datos!$B$9/$D$19*$D5&lt;Datos!$C$9,Datos!$C$9,Datos!$B$9/$D$19*$D5))</f>
        <v>116361</v>
      </c>
      <c r="J5" s="30">
        <v>1</v>
      </c>
      <c r="L5" s="85">
        <f>+IF(D5&lt;$D$19,Datos!$B$29/$D$19*D5,Datos!$B$29)</f>
        <v>16450</v>
      </c>
      <c r="M5" s="27"/>
    </row>
    <row r="6" spans="1:13" x14ac:dyDescent="0.2">
      <c r="A6" s="7" t="s">
        <v>40</v>
      </c>
      <c r="B6" s="31">
        <v>544</v>
      </c>
      <c r="C6" s="8">
        <v>10</v>
      </c>
      <c r="D6" s="37">
        <v>1307</v>
      </c>
      <c r="E6" s="82" t="s">
        <v>185</v>
      </c>
      <c r="F6" s="37">
        <f>+IF(D6&gt;$D$19,Datos!$B$15,IF(Datos!$B$15/$D$19*D6&lt;Datos!$C$15,Datos!$C$15,Datos!$B$15/$D$19*D6))</f>
        <v>399369</v>
      </c>
      <c r="G6" s="37">
        <f>+IF(D6&gt;$D$19,Datos!$B$3,IF(Datos!$B$3/$D$19*D6&lt;Datos!$C$3,Datos!$C$3,Datos!$B$3/$D$19*D6))</f>
        <v>134127</v>
      </c>
      <c r="H6" s="37">
        <f>+IF($D6&gt;$D$19,Datos!$B$6,IF(Datos!$B$6/$D$19*$D6&lt;Datos!$C$6,Datos!$C$6,Datos!$B$6/$D$19*$D6))</f>
        <v>93905</v>
      </c>
      <c r="I6" s="37">
        <f>+IF($D6&gt;$D$19,Datos!$B$9,IF(Datos!$B$9/$D$19*$D6&lt;Datos!$C$9,Datos!$C$9,Datos!$B$9/$D$19*$D6))</f>
        <v>116361</v>
      </c>
      <c r="J6" s="30">
        <v>1</v>
      </c>
      <c r="L6" s="85">
        <f>+IF(D6&lt;$D$19,Datos!$B$29/$D$19*D6,Datos!$B$29)</f>
        <v>16450</v>
      </c>
      <c r="M6" s="27"/>
    </row>
    <row r="7" spans="1:13" x14ac:dyDescent="0.2">
      <c r="A7" s="7" t="s">
        <v>41</v>
      </c>
      <c r="B7" s="31">
        <v>543</v>
      </c>
      <c r="C7" s="8">
        <v>30</v>
      </c>
      <c r="D7" s="37">
        <v>1135</v>
      </c>
      <c r="E7" s="82" t="s">
        <v>185</v>
      </c>
      <c r="F7" s="37">
        <f>+IF(D7&gt;$D$19,Datos!$B$15,IF(Datos!$B$15/$D$19*D7&lt;Datos!$C$15,Datos!$C$15,Datos!$B$15/$D$19*D7))</f>
        <v>399369</v>
      </c>
      <c r="G7" s="37">
        <f>+IF(D7&gt;$D$19,Datos!$B$3,IF(Datos!$B$3/$D$19*D7&lt;Datos!$C$3,Datos!$C$3,Datos!$B$3/$D$19*D7))</f>
        <v>134127</v>
      </c>
      <c r="H7" s="37">
        <f>+IF($D7&gt;$D$19,Datos!$B$6,IF(Datos!$B$6/$D$19*$D7&lt;Datos!$C$6,Datos!$C$6,Datos!$B$6/$D$19*$D7))</f>
        <v>93905</v>
      </c>
      <c r="I7" s="37">
        <f>+IF($D7&gt;$D$19,Datos!$B$9,IF(Datos!$B$9/$D$19*$D7&lt;Datos!$C$9,Datos!$C$9,Datos!$B$9/$D$19*$D7))</f>
        <v>116361</v>
      </c>
      <c r="L7" s="85">
        <f>+IF(D7&lt;$D$19,Datos!$B$29/$D$19*D7,Datos!$B$29)</f>
        <v>16450</v>
      </c>
      <c r="M7" s="27"/>
    </row>
    <row r="8" spans="1:13" x14ac:dyDescent="0.2">
      <c r="A8" s="7" t="s">
        <v>42</v>
      </c>
      <c r="B8" s="31">
        <v>889</v>
      </c>
      <c r="C8" s="8">
        <v>15</v>
      </c>
      <c r="D8" s="37">
        <v>981.5</v>
      </c>
      <c r="E8" s="82" t="s">
        <v>185</v>
      </c>
      <c r="F8" s="37">
        <f>+IF(D8&gt;$D$19,Datos!$B$15,IF(Datos!$B$15/$D$19*D8&lt;Datos!$C$15,Datos!$C$15,Datos!$B$15/$D$19*D8))</f>
        <v>345357.42</v>
      </c>
      <c r="G8" s="37">
        <f>+IF(D8&gt;$D$19,Datos!$B$3,IF(Datos!$B$3/$D$19*D8&lt;Datos!$C$3,Datos!$C$3,Datos!$B$3/$D$19*D8))</f>
        <v>127233</v>
      </c>
      <c r="H8" s="37">
        <f>+IF($D8&gt;$D$19,Datos!$B$6,IF(Datos!$B$6/$D$19*$D8&lt;Datos!$C$6,Datos!$C$6,Datos!$B$6/$D$19*$D8))</f>
        <v>90108</v>
      </c>
      <c r="I8" s="37">
        <f>+IF($D8&gt;$D$19,Datos!$B$9,IF(Datos!$B$9/$D$19*$D8&lt;Datos!$C$9,Datos!$C$9,Datos!$B$9/$D$19*$D8))</f>
        <v>111664</v>
      </c>
      <c r="L8" s="85">
        <f>+IF(D8&lt;$D$19,Datos!$B$29/$D$19*D8,Datos!$B$29)</f>
        <v>14225.26</v>
      </c>
      <c r="M8" s="27"/>
    </row>
    <row r="9" spans="1:13" x14ac:dyDescent="0.2">
      <c r="A9" s="35" t="s">
        <v>43</v>
      </c>
      <c r="B9" s="31">
        <v>906</v>
      </c>
      <c r="C9" s="8">
        <v>20</v>
      </c>
      <c r="D9" s="37">
        <v>1135</v>
      </c>
      <c r="E9" s="82" t="s">
        <v>185</v>
      </c>
      <c r="F9" s="37">
        <f>+IF(D9&gt;$D$19,Datos!$B$15,IF(Datos!$B$15/$D$19*D9&lt;Datos!$C$15,Datos!$C$15,Datos!$B$15/$D$19*D9))</f>
        <v>399369</v>
      </c>
      <c r="G9" s="37">
        <f>+IF(D9&gt;$D$19,Datos!$B$3,IF(Datos!$B$3/$D$19*D9&lt;Datos!$C$3,Datos!$C$3,Datos!$B$3/$D$19*D9))</f>
        <v>134127</v>
      </c>
      <c r="H9" s="37">
        <f>+IF($D9&gt;$D$19,Datos!$B$6,IF(Datos!$B$6/$D$19*$D9&lt;Datos!$C$6,Datos!$C$6,Datos!$B$6/$D$19*$D9))</f>
        <v>93905</v>
      </c>
      <c r="I9" s="37">
        <f>+IF($D9&gt;$D$19,Datos!$B$9,IF(Datos!$B$9/$D$19*$D9&lt;Datos!$C$9,Datos!$C$9,Datos!$B$9/$D$19*$D9))</f>
        <v>116361</v>
      </c>
      <c r="L9" s="85">
        <f>+IF(D9&lt;$D$19,Datos!$B$29/$D$19*D9,Datos!$B$29)</f>
        <v>16450</v>
      </c>
      <c r="M9" s="27"/>
    </row>
    <row r="10" spans="1:13" x14ac:dyDescent="0.2">
      <c r="A10" s="35" t="s">
        <v>167</v>
      </c>
      <c r="B10" s="31">
        <v>907</v>
      </c>
      <c r="C10" s="8">
        <v>25</v>
      </c>
      <c r="D10" s="37">
        <v>1135</v>
      </c>
      <c r="E10" s="82" t="s">
        <v>185</v>
      </c>
      <c r="F10" s="37">
        <f>+IF(D10&gt;$D$19,Datos!$B$15,IF(Datos!$B$15/$D$19*D10&lt;Datos!$C$15,Datos!$C$15,Datos!$B$15/$D$19*D10))</f>
        <v>399369</v>
      </c>
      <c r="G10" s="37">
        <f>+IF(D10&gt;$D$19,Datos!$B$3,IF(Datos!$B$3/$D$19*D10&lt;Datos!$C$3,Datos!$C$3,Datos!$B$3/$D$19*D10))</f>
        <v>134127</v>
      </c>
      <c r="H10" s="37">
        <f>+IF($D10&gt;$D$19,Datos!$B$6,IF(Datos!$B$6/$D$19*$D10&lt;Datos!$C$6,Datos!$C$6,Datos!$B$6/$D$19*$D10))</f>
        <v>93905</v>
      </c>
      <c r="I10" s="37">
        <f>+IF($D10&gt;$D$19,Datos!$B$9,IF(Datos!$B$9/$D$19*$D10&lt;Datos!$C$9,Datos!$C$9,Datos!$B$9/$D$19*$D10))</f>
        <v>116361</v>
      </c>
      <c r="L10" s="85">
        <f>+IF(D10&lt;$D$19,Datos!$B$29/$D$19*D10,Datos!$B$29)</f>
        <v>16450</v>
      </c>
      <c r="M10" s="27"/>
    </row>
    <row r="11" spans="1:13" x14ac:dyDescent="0.2">
      <c r="A11" s="35" t="s">
        <v>212</v>
      </c>
      <c r="B11" s="31">
        <v>6901</v>
      </c>
      <c r="C11" s="8">
        <v>12</v>
      </c>
      <c r="D11" s="37">
        <v>1307</v>
      </c>
      <c r="E11" s="82" t="s">
        <v>185</v>
      </c>
      <c r="F11" s="37">
        <f>+IF(D11&gt;$D$19,Datos!$B$15,IF(Datos!$B$15/$D$19*D11&lt;Datos!$C$15,Datos!$C$15,Datos!$B$15/$D$19*D11))</f>
        <v>399369</v>
      </c>
      <c r="G11" s="37">
        <f>+IF(D11&gt;$D$19,Datos!$B$3,IF(Datos!$B$3/$D$19*D11&lt;Datos!$C$3,Datos!$C$3,Datos!$B$3/$D$19*D11))</f>
        <v>134127</v>
      </c>
      <c r="H11" s="37">
        <f>+IF($D11&gt;$D$19,Datos!$B$6,IF(Datos!$B$6/$D$19*$D11&lt;Datos!$C$6,Datos!$C$6,Datos!$B$6/$D$19*$D11))</f>
        <v>93905</v>
      </c>
      <c r="I11" s="37">
        <f>+IF($D11&gt;$D$19,Datos!$B$9,IF(Datos!$B$9/$D$19*$D11&lt;Datos!$C$9,Datos!$C$9,Datos!$B$9/$D$19*$D11))</f>
        <v>116361</v>
      </c>
      <c r="J11" s="30">
        <v>1</v>
      </c>
      <c r="L11" s="85">
        <f>+IF(D11&lt;$D$19,Datos!$B$29/$D$19*D11,Datos!$B$29)</f>
        <v>16450</v>
      </c>
      <c r="M11" s="27"/>
    </row>
    <row r="12" spans="1:13" x14ac:dyDescent="0.2">
      <c r="A12" s="7" t="s">
        <v>44</v>
      </c>
      <c r="B12" s="31">
        <v>566</v>
      </c>
      <c r="C12" s="8">
        <v>50</v>
      </c>
      <c r="D12" s="37">
        <v>56</v>
      </c>
      <c r="E12" s="82" t="s">
        <v>187</v>
      </c>
      <c r="F12" s="37">
        <f>Datos!$B$15/20</f>
        <v>19968.45</v>
      </c>
      <c r="G12" s="37">
        <f>Datos!$B$5</f>
        <v>7059.32</v>
      </c>
      <c r="H12" s="37">
        <f>Datos!$B$8</f>
        <v>4942.37</v>
      </c>
      <c r="I12" s="37">
        <f>Datos!$B$11</f>
        <v>6124.26</v>
      </c>
      <c r="L12" s="85">
        <f>Datos!$B$31</f>
        <v>865.79</v>
      </c>
      <c r="M12" s="27"/>
    </row>
    <row r="13" spans="1:13" x14ac:dyDescent="0.2">
      <c r="A13" s="9" t="s">
        <v>60</v>
      </c>
      <c r="C13" s="8"/>
      <c r="D13" s="37"/>
      <c r="E13" s="82"/>
      <c r="F13" s="37"/>
      <c r="G13" s="37"/>
      <c r="H13" s="37"/>
      <c r="I13" s="37"/>
      <c r="M13" s="32"/>
    </row>
    <row r="14" spans="1:13" x14ac:dyDescent="0.2">
      <c r="A14" s="7" t="s">
        <v>45</v>
      </c>
      <c r="B14" s="31">
        <v>585</v>
      </c>
      <c r="C14" s="8">
        <v>1</v>
      </c>
      <c r="D14" s="37">
        <v>1783</v>
      </c>
      <c r="E14" s="82" t="s">
        <v>185</v>
      </c>
      <c r="F14" s="37">
        <f>+IF(D14&gt;$D$19,Datos!$B$15,IF(Datos!$B$15/$D$19*D14&lt;Datos!$C$15,Datos!$C$15,Datos!$B$15/$D$19*D14))</f>
        <v>399369</v>
      </c>
      <c r="G14" s="37">
        <f>+IF(D14&gt;$D$19,Datos!$B$3,IF(Datos!$B$3/$D$19*D14&lt;Datos!$C$3,Datos!$C$3,Datos!$B$3/$D$19*D14))</f>
        <v>134127</v>
      </c>
      <c r="H14" s="37">
        <f>+IF($D14&gt;$D$19,Datos!$B$6,IF(Datos!$B$6/$D$19*$D14&lt;Datos!$C$6,Datos!$C$6,Datos!$B$6/$D$19*$D14))</f>
        <v>93905</v>
      </c>
      <c r="I14" s="37">
        <f>+IF($D14&gt;$D$19,Datos!$B$9,IF(Datos!$B$9/$D$19*$D14&lt;Datos!$C$9,Datos!$C$9,Datos!$B$9/$D$19*$D14))</f>
        <v>116361</v>
      </c>
      <c r="J14" s="30">
        <v>1</v>
      </c>
      <c r="K14" s="30">
        <v>1</v>
      </c>
      <c r="L14" s="85">
        <f>+IF(D14&lt;$D$19,Datos!$B$29/$D$19*D14,Datos!$B$29)</f>
        <v>16450</v>
      </c>
      <c r="M14" s="27"/>
    </row>
    <row r="15" spans="1:13" x14ac:dyDescent="0.2">
      <c r="A15" s="7" t="s">
        <v>46</v>
      </c>
      <c r="B15" s="31">
        <v>840</v>
      </c>
      <c r="C15" s="8">
        <v>2</v>
      </c>
      <c r="D15" s="37">
        <v>1545</v>
      </c>
      <c r="E15" s="82" t="s">
        <v>185</v>
      </c>
      <c r="F15" s="37">
        <f>+IF(D15&gt;$D$19,Datos!$B$15,IF(Datos!$B$15/$D$19*D15&lt;Datos!$C$15,Datos!$C$15,Datos!$B$15/$D$19*D15))</f>
        <v>399369</v>
      </c>
      <c r="G15" s="37">
        <f>+IF(D15&gt;$D$19,Datos!$B$3,IF(Datos!$B$3/$D$19*D15&lt;Datos!$C$3,Datos!$C$3,Datos!$B$3/$D$19*D15))</f>
        <v>134127</v>
      </c>
      <c r="H15" s="37">
        <f>+IF($D15&gt;$D$19,Datos!$B$6,IF(Datos!$B$6/$D$19*$D15&lt;Datos!$C$6,Datos!$C$6,Datos!$B$6/$D$19*$D15))</f>
        <v>93905</v>
      </c>
      <c r="I15" s="37">
        <f>+IF($D15&gt;$D$19,Datos!$B$9,IF(Datos!$B$9/$D$19*$D15&lt;Datos!$C$9,Datos!$C$9,Datos!$B$9/$D$19*$D15))</f>
        <v>116361</v>
      </c>
      <c r="J15" s="30">
        <v>1</v>
      </c>
      <c r="L15" s="85">
        <f>+IF(D15&lt;$D$19,Datos!$B$29/$D$19*D15,Datos!$B$29)</f>
        <v>16450</v>
      </c>
      <c r="M15" s="27"/>
    </row>
    <row r="16" spans="1:13" x14ac:dyDescent="0.2">
      <c r="A16" s="7" t="s">
        <v>47</v>
      </c>
      <c r="B16" s="31">
        <v>846</v>
      </c>
      <c r="C16" s="8">
        <v>10</v>
      </c>
      <c r="D16" s="37">
        <v>1307</v>
      </c>
      <c r="E16" s="82" t="s">
        <v>185</v>
      </c>
      <c r="F16" s="37">
        <f>+IF(D16&gt;$D$19,Datos!$B$15,IF(Datos!$B$15/$D$19*D16&lt;Datos!$C$15,Datos!$C$15,Datos!$B$15/$D$19*D16))</f>
        <v>399369</v>
      </c>
      <c r="G16" s="37">
        <f>+IF(D16&gt;$D$19,Datos!$B$3,IF(Datos!$B$3/$D$19*D16&lt;Datos!$C$3,Datos!$C$3,Datos!$B$3/$D$19*D16))</f>
        <v>134127</v>
      </c>
      <c r="H16" s="37">
        <f>+IF($D16&gt;$D$19,Datos!$B$6,IF(Datos!$B$6/$D$19*$D16&lt;Datos!$C$6,Datos!$C$6,Datos!$B$6/$D$19*$D16))</f>
        <v>93905</v>
      </c>
      <c r="I16" s="37">
        <f>+IF($D16&gt;$D$19,Datos!$B$9,IF(Datos!$B$9/$D$19*$D16&lt;Datos!$C$9,Datos!$C$9,Datos!$B$9/$D$19*$D16))</f>
        <v>116361</v>
      </c>
      <c r="J16" s="30">
        <v>1</v>
      </c>
      <c r="L16" s="85">
        <f>+IF(D16&lt;$D$19,Datos!$B$29/$D$19*D16,Datos!$B$29)</f>
        <v>16450</v>
      </c>
      <c r="M16" s="27"/>
    </row>
    <row r="17" spans="1:13" x14ac:dyDescent="0.2">
      <c r="A17" s="7" t="s">
        <v>48</v>
      </c>
      <c r="B17" s="31">
        <v>847</v>
      </c>
      <c r="C17" s="8">
        <v>20</v>
      </c>
      <c r="D17" s="37">
        <v>1135</v>
      </c>
      <c r="E17" s="82" t="s">
        <v>185</v>
      </c>
      <c r="F17" s="37">
        <f>+IF(D17&gt;$D$19,Datos!$B$15,IF(Datos!$B$15/$D$19*D17&lt;Datos!$C$15,Datos!$C$15,Datos!$B$15/$D$19*D17))</f>
        <v>399369</v>
      </c>
      <c r="G17" s="37">
        <f>+IF(D17&gt;$D$19,Datos!$B$3,IF(Datos!$B$3/$D$19*D17&lt;Datos!$C$3,Datos!$C$3,Datos!$B$3/$D$19*D17))</f>
        <v>134127</v>
      </c>
      <c r="H17" s="37">
        <f>+IF($D17&gt;$D$19,Datos!$B$6,IF(Datos!$B$6/$D$19*$D17&lt;Datos!$C$6,Datos!$C$6,Datos!$B$6/$D$19*$D17))</f>
        <v>93905</v>
      </c>
      <c r="I17" s="37">
        <f>+IF($D17&gt;$D$19,Datos!$B$9,IF(Datos!$B$9/$D$19*$D17&lt;Datos!$C$9,Datos!$C$9,Datos!$B$9/$D$19*$D17))</f>
        <v>116361</v>
      </c>
      <c r="L17" s="85">
        <f>+IF(D17&lt;$D$19,Datos!$B$29/$D$19*D17,Datos!$B$29)</f>
        <v>16450</v>
      </c>
      <c r="M17" s="27"/>
    </row>
    <row r="18" spans="1:13" x14ac:dyDescent="0.2">
      <c r="A18" s="7" t="s">
        <v>166</v>
      </c>
      <c r="B18" s="31">
        <v>848</v>
      </c>
      <c r="C18" s="8">
        <v>20</v>
      </c>
      <c r="D18" s="37">
        <v>1135</v>
      </c>
      <c r="E18" s="82" t="s">
        <v>185</v>
      </c>
      <c r="F18" s="37">
        <f>+IF(D18&gt;$D$19,Datos!$B$15,IF(Datos!$B$15/$D$19*D18&lt;Datos!$C$15,Datos!$C$15,Datos!$B$15/$D$19*D18))</f>
        <v>399369</v>
      </c>
      <c r="G18" s="37">
        <f>+IF(D18&gt;$D$19,Datos!$B$3,IF(Datos!$B$3/$D$19*D18&lt;Datos!$C$3,Datos!$C$3,Datos!$B$3/$D$19*D18))</f>
        <v>134127</v>
      </c>
      <c r="H18" s="37">
        <f>+IF($D18&gt;$D$19,Datos!$B$6,IF(Datos!$B$6/$D$19*$D18&lt;Datos!$C$6,Datos!$C$6,Datos!$B$6/$D$19*$D18))</f>
        <v>93905</v>
      </c>
      <c r="I18" s="37">
        <f>+IF($D18&gt;$D$19,Datos!$B$9,IF(Datos!$B$9/$D$19*$D18&lt;Datos!$C$9,Datos!$C$9,Datos!$B$9/$D$19*$D18))</f>
        <v>116361</v>
      </c>
      <c r="L18" s="85">
        <f>+IF(D18&lt;$D$19,Datos!$B$29/$D$19*D18,Datos!$B$29)</f>
        <v>16450</v>
      </c>
      <c r="M18" s="27"/>
    </row>
    <row r="19" spans="1:13" x14ac:dyDescent="0.2">
      <c r="A19" s="7" t="s">
        <v>49</v>
      </c>
      <c r="B19" s="31">
        <v>845</v>
      </c>
      <c r="C19" s="8">
        <v>30</v>
      </c>
      <c r="D19" s="37">
        <v>1135</v>
      </c>
      <c r="E19" s="82" t="s">
        <v>185</v>
      </c>
      <c r="F19" s="37">
        <f>+IF(D19&gt;$D$19,Datos!$B$15,IF(Datos!$B$15/$D$19*D19&lt;Datos!$C$15,Datos!$C$15,Datos!$B$15/$D$19*D19))</f>
        <v>399369</v>
      </c>
      <c r="G19" s="37">
        <f>+IF(D19&gt;$D$19,Datos!$B$3,IF(Datos!$B$3/$D$19*D19&lt;Datos!$C$3,Datos!$C$3,Datos!$B$3/$D$19*D19))</f>
        <v>134127</v>
      </c>
      <c r="H19" s="37">
        <f>+IF($D19&gt;$D$19,Datos!$B$6,IF(Datos!$B$6/$D$19*$D19&lt;Datos!$C$6,Datos!$C$6,Datos!$B$6/$D$19*$D19))</f>
        <v>93905</v>
      </c>
      <c r="I19" s="37">
        <f>+IF($D19&gt;$D$19,Datos!$B$9,IF(Datos!$B$9/$D$19*$D19&lt;Datos!$C$9,Datos!$C$9,Datos!$B$9/$D$19*$D19))</f>
        <v>116361</v>
      </c>
      <c r="L19" s="85">
        <f>+IF(D19&lt;$D$19,Datos!$B$29/$D$19*D19,Datos!$B$29)</f>
        <v>16450</v>
      </c>
      <c r="M19" s="27"/>
    </row>
    <row r="20" spans="1:13" x14ac:dyDescent="0.2">
      <c r="A20" s="7" t="s">
        <v>50</v>
      </c>
      <c r="B20" s="31">
        <v>875</v>
      </c>
      <c r="C20" s="8">
        <v>25</v>
      </c>
      <c r="D20" s="37">
        <v>1135</v>
      </c>
      <c r="E20" s="82" t="s">
        <v>185</v>
      </c>
      <c r="F20" s="37">
        <f>+IF(D20&gt;$D$19,Datos!$B$15,IF(Datos!$B$15/$D$19*D20&lt;Datos!$C$15,Datos!$C$15,Datos!$B$15/$D$19*D20))</f>
        <v>399369</v>
      </c>
      <c r="G20" s="37">
        <f>+IF(D20&gt;$D$19,Datos!$B$3,IF(Datos!$B$3/$D$19*D20&lt;Datos!$C$3,Datos!$C$3,Datos!$B$3/$D$19*D20))</f>
        <v>134127</v>
      </c>
      <c r="H20" s="37">
        <f>+IF($D20&gt;$D$19,Datos!$B$6,IF(Datos!$B$6/$D$19*$D20&lt;Datos!$C$6,Datos!$C$6,Datos!$B$6/$D$19*$D20))</f>
        <v>93905</v>
      </c>
      <c r="I20" s="37">
        <f>+IF($D20&gt;$D$19,Datos!$B$9,IF(Datos!$B$9/$D$19*$D20&lt;Datos!$C$9,Datos!$C$9,Datos!$B$9/$D$19*$D20))</f>
        <v>116361</v>
      </c>
      <c r="L20" s="85">
        <f>+IF(D20&lt;$D$19,Datos!$B$29/$D$19*D20,Datos!$B$29)</f>
        <v>16450</v>
      </c>
      <c r="M20" s="27"/>
    </row>
    <row r="21" spans="1:13" x14ac:dyDescent="0.2">
      <c r="A21" s="7" t="s">
        <v>215</v>
      </c>
      <c r="B21" s="31">
        <v>6903</v>
      </c>
      <c r="C21" s="8">
        <v>15</v>
      </c>
      <c r="D21" s="37">
        <v>1307</v>
      </c>
      <c r="E21" s="82" t="s">
        <v>185</v>
      </c>
      <c r="F21" s="37">
        <f>+IF(D21&gt;$D$19,Datos!$B$15,IF(Datos!$B$15/$D$19*D21&lt;Datos!$C$15,Datos!$C$15,Datos!$B$15/$D$19*D21))</f>
        <v>399369</v>
      </c>
      <c r="G21" s="37">
        <f>+IF(D21&gt;$D$19,Datos!$B$3,IF(Datos!$B$3/$D$19*D21&lt;Datos!$C$3,Datos!$C$3,Datos!$B$3/$D$19*D21))</f>
        <v>134127</v>
      </c>
      <c r="H21" s="37">
        <f>+IF($D21&gt;$D$19,Datos!$B$6,IF(Datos!$B$6/$D$19*$D21&lt;Datos!$C$6,Datos!$C$6,Datos!$B$6/$D$19*$D21))</f>
        <v>93905</v>
      </c>
      <c r="I21" s="37">
        <f>+IF($D21&gt;$D$19,Datos!$B$9,IF(Datos!$B$9/$D$19*$D21&lt;Datos!$C$9,Datos!$C$9,Datos!$B$9/$D$19*$D21))</f>
        <v>116361</v>
      </c>
      <c r="J21" s="30">
        <v>1</v>
      </c>
      <c r="L21" s="85">
        <f>+IF(D21&lt;$D$19,Datos!$B$29/$D$19*D21,Datos!$B$29)</f>
        <v>16450</v>
      </c>
      <c r="M21" s="27"/>
    </row>
    <row r="22" spans="1:13" x14ac:dyDescent="0.2">
      <c r="A22" s="7" t="s">
        <v>213</v>
      </c>
      <c r="B22" s="31">
        <v>6905</v>
      </c>
      <c r="C22" s="8">
        <v>16</v>
      </c>
      <c r="D22" s="37">
        <v>1307</v>
      </c>
      <c r="E22" s="82" t="s">
        <v>185</v>
      </c>
      <c r="F22" s="37">
        <f>+IF(D22&gt;$D$19,Datos!$B$15,IF(Datos!$B$15/$D$19*D22&lt;Datos!$C$15,Datos!$C$15,Datos!$B$15/$D$19*D22))</f>
        <v>399369</v>
      </c>
      <c r="G22" s="37">
        <f>+IF(D22&gt;$D$19,Datos!$B$3,IF(Datos!$B$3/$D$19*D22&lt;Datos!$C$3,Datos!$C$3,Datos!$B$3/$D$19*D22))</f>
        <v>134127</v>
      </c>
      <c r="H22" s="37">
        <f>+IF($D22&gt;$D$19,Datos!$B$6,IF(Datos!$B$6/$D$19*$D22&lt;Datos!$C$6,Datos!$C$6,Datos!$B$6/$D$19*$D22))</f>
        <v>93905</v>
      </c>
      <c r="I22" s="37">
        <f>+IF($D22&gt;$D$19,Datos!$B$9,IF(Datos!$B$9/$D$19*$D22&lt;Datos!$C$9,Datos!$C$9,Datos!$B$9/$D$19*$D22))</f>
        <v>116361</v>
      </c>
      <c r="J22" s="30">
        <v>1</v>
      </c>
      <c r="L22" s="85">
        <f>+IF(D22&lt;$D$19,Datos!$B$29/$D$19*D22,Datos!$B$29)</f>
        <v>16450</v>
      </c>
      <c r="M22" s="27"/>
    </row>
    <row r="23" spans="1:13" x14ac:dyDescent="0.2">
      <c r="A23" s="7" t="s">
        <v>51</v>
      </c>
      <c r="B23" s="31">
        <v>5566</v>
      </c>
      <c r="C23" s="8">
        <v>50</v>
      </c>
      <c r="D23" s="37">
        <v>56</v>
      </c>
      <c r="E23" s="82" t="s">
        <v>187</v>
      </c>
      <c r="F23" s="37">
        <f>Datos!$B$15/20</f>
        <v>19968.45</v>
      </c>
      <c r="G23" s="37">
        <f>Datos!$B$5</f>
        <v>7059.32</v>
      </c>
      <c r="H23" s="37">
        <f>Datos!$B$8</f>
        <v>4942.37</v>
      </c>
      <c r="I23" s="37">
        <f>Datos!$B$11</f>
        <v>6124.26</v>
      </c>
      <c r="L23" s="85">
        <f>Datos!$B$31</f>
        <v>865.79</v>
      </c>
      <c r="M23" s="27"/>
    </row>
    <row r="24" spans="1:13" x14ac:dyDescent="0.2">
      <c r="A24" s="9" t="s">
        <v>61</v>
      </c>
      <c r="C24" s="8"/>
      <c r="D24" s="37"/>
      <c r="E24" s="82"/>
      <c r="F24" s="37"/>
      <c r="G24" s="37"/>
      <c r="H24" s="37"/>
      <c r="I24" s="37"/>
      <c r="L24" s="85">
        <f>+IF(D24&gt;$D$19,Datos!$D$33,Datos!$D$33/$D$19*D24)</f>
        <v>0</v>
      </c>
      <c r="M24" s="32"/>
    </row>
    <row r="25" spans="1:13" x14ac:dyDescent="0.2">
      <c r="A25" s="7" t="s">
        <v>52</v>
      </c>
      <c r="B25" s="31">
        <v>835</v>
      </c>
      <c r="C25" s="8">
        <v>1</v>
      </c>
      <c r="D25" s="37">
        <v>3125</v>
      </c>
      <c r="E25" s="82" t="s">
        <v>186</v>
      </c>
      <c r="F25" s="37">
        <f>+IF(D25&gt;$D$34,Datos!$B$16,IF(Datos!$B$16/$D$34*D25&lt;Datos!$C$16,Datos!$C$16,Datos!$B$16/$D$34*D25))</f>
        <v>798738</v>
      </c>
      <c r="G25" s="37">
        <f>+IF(D25&gt;$D$34,Datos!$B$4,IF(Datos!$B$4/$D$34*D25&lt;Datos!$C$4,Datos!$C$4,Datos!$B$4/$D$34*D25))</f>
        <v>268254</v>
      </c>
      <c r="H25" s="37">
        <f>+IF($D25&gt;$D$34,Datos!$B$7,IF(Datos!$B$7/$D$34*$D25&lt;Datos!$C$7,Datos!$C$7,Datos!$B$7/$D$34*$D25))</f>
        <v>187810</v>
      </c>
      <c r="I25" s="37">
        <f>+IF($D25&gt;$D$34,Datos!$B$10,IF(Datos!$B$10/$D$34*$D25&lt;Datos!$C$10,Datos!$C$10,Datos!$B$10/$D$34*$D25))</f>
        <v>232722</v>
      </c>
      <c r="J25" s="30">
        <v>1</v>
      </c>
      <c r="K25" s="30">
        <v>1</v>
      </c>
      <c r="L25" s="85">
        <f>+IF(D25&lt;$D$34,Datos!$B$30/$D$34*D25,Datos!$B$30)</f>
        <v>32900</v>
      </c>
      <c r="M25" s="27"/>
    </row>
    <row r="26" spans="1:13" x14ac:dyDescent="0.2">
      <c r="A26" s="7" t="s">
        <v>53</v>
      </c>
      <c r="B26" s="31">
        <v>877</v>
      </c>
      <c r="C26" s="8">
        <v>2</v>
      </c>
      <c r="D26" s="37">
        <v>2667</v>
      </c>
      <c r="E26" s="82" t="s">
        <v>186</v>
      </c>
      <c r="F26" s="37">
        <f>+IF(D26&gt;$D$34,Datos!$B$16,IF(Datos!$B$16/$D$34*D26&lt;Datos!$C$16,Datos!$C$16,Datos!$B$16/$D$34*D26))</f>
        <v>798738</v>
      </c>
      <c r="G26" s="37">
        <f>+IF(D26&gt;$D$34,Datos!$B$4,IF(Datos!$B$4/$D$34*D26&lt;Datos!$C$4,Datos!$C$4,Datos!$B$4/$D$34*D26))</f>
        <v>268254</v>
      </c>
      <c r="H26" s="37">
        <f>+IF($D26&gt;$D$34,Datos!$B$7,IF(Datos!$B$7/$D$34*$D26&lt;Datos!$C$7,Datos!$C$7,Datos!$B$7/$D$34*$D26))</f>
        <v>187810</v>
      </c>
      <c r="I26" s="37">
        <f>+IF($D26&gt;$D$34,Datos!$B$10,IF(Datos!$B$10/$D$34*$D26&lt;Datos!$C$10,Datos!$C$10,Datos!$B$10/$D$34*$D26))</f>
        <v>232722</v>
      </c>
      <c r="J26" s="30">
        <v>1</v>
      </c>
      <c r="L26" s="85">
        <f>+IF(D26&lt;$D$34,Datos!$B$30/$D$34*D26,Datos!$B$30)</f>
        <v>32900</v>
      </c>
      <c r="M26" s="27"/>
    </row>
    <row r="27" spans="1:13" x14ac:dyDescent="0.2">
      <c r="A27" s="7" t="s">
        <v>54</v>
      </c>
      <c r="B27" s="31">
        <v>838</v>
      </c>
      <c r="C27" s="8">
        <v>10</v>
      </c>
      <c r="D27" s="37">
        <v>2359</v>
      </c>
      <c r="E27" s="82" t="s">
        <v>186</v>
      </c>
      <c r="F27" s="37">
        <f>+IF(D27&gt;$D$34,Datos!$B$16,IF(Datos!$B$16/$D$34*D27&lt;Datos!$C$16,Datos!$C$16,Datos!$B$16/$D$34*D27))</f>
        <v>798738</v>
      </c>
      <c r="G27" s="37">
        <f>+IF(D27&gt;$D$34,Datos!$B$4,IF(Datos!$B$4/$D$34*D27&lt;Datos!$C$4,Datos!$C$4,Datos!$B$4/$D$34*D27))</f>
        <v>268254</v>
      </c>
      <c r="H27" s="37">
        <f>+IF($D27&gt;$D$34,Datos!$B$7,IF(Datos!$B$7/$D$34*$D27&lt;Datos!$C$7,Datos!$C$7,Datos!$B$7/$D$34*$D27))</f>
        <v>187810</v>
      </c>
      <c r="I27" s="37">
        <f>+IF($D27&gt;$D$34,Datos!$B$10,IF(Datos!$B$10/$D$34*$D27&lt;Datos!$C$10,Datos!$C$10,Datos!$B$10/$D$34*$D27))</f>
        <v>232722</v>
      </c>
      <c r="J27" s="30">
        <v>1</v>
      </c>
      <c r="L27" s="85">
        <f>+IF(D27&lt;$D$34,Datos!$B$30/$D$34*D27,Datos!$B$30)</f>
        <v>32900</v>
      </c>
      <c r="M27" s="27"/>
    </row>
    <row r="28" spans="1:13" x14ac:dyDescent="0.2">
      <c r="A28" s="7" t="s">
        <v>214</v>
      </c>
      <c r="B28" s="31">
        <v>6902</v>
      </c>
      <c r="C28" s="8">
        <v>15</v>
      </c>
      <c r="D28" s="37">
        <v>2359</v>
      </c>
      <c r="E28" s="82" t="s">
        <v>186</v>
      </c>
      <c r="F28" s="37">
        <f>+IF(D28&gt;$D$34,Datos!$B$16,IF(Datos!$B$16/$D$34*D28&lt;Datos!$C$16,Datos!$C$16,Datos!$B$16/$D$34*D28))</f>
        <v>798738</v>
      </c>
      <c r="G28" s="37">
        <f>+IF(D28&gt;$D$34,Datos!$B$4,IF(Datos!$B$4/$D$34*D28&lt;Datos!$C$4,Datos!$C$4,Datos!$B$4/$D$34*D28))</f>
        <v>268254</v>
      </c>
      <c r="H28" s="37">
        <f>+IF($D28&gt;$D$34,Datos!$B$7,IF(Datos!$B$7/$D$34*$D28&lt;Datos!$C$7,Datos!$C$7,Datos!$B$7/$D$34*$D28))</f>
        <v>187810</v>
      </c>
      <c r="I28" s="37">
        <f>+IF($D28&gt;$D$34,Datos!$B$10,IF(Datos!$B$10/$D$34*$D28&lt;Datos!$C$10,Datos!$C$10,Datos!$B$10/$D$34*$D28))</f>
        <v>232722</v>
      </c>
      <c r="J28" s="30">
        <v>1</v>
      </c>
      <c r="L28" s="85">
        <f>+IF(D28&lt;$D$34,Datos!$B$30/$D$34*D28,Datos!$B$30)</f>
        <v>32900</v>
      </c>
      <c r="M28" s="27"/>
    </row>
    <row r="29" spans="1:13" x14ac:dyDescent="0.2">
      <c r="A29" s="7" t="s">
        <v>55</v>
      </c>
      <c r="B29" s="31">
        <v>566</v>
      </c>
      <c r="C29" s="8">
        <v>50</v>
      </c>
      <c r="D29" s="37">
        <v>56</v>
      </c>
      <c r="E29" s="82" t="s">
        <v>187</v>
      </c>
      <c r="F29" s="37">
        <f>Datos!$B$15/20</f>
        <v>19968.45</v>
      </c>
      <c r="G29" s="37">
        <f>Datos!$B$5</f>
        <v>7059.32</v>
      </c>
      <c r="H29" s="37">
        <f>Datos!$B$8</f>
        <v>4942.37</v>
      </c>
      <c r="I29" s="37">
        <f>Datos!$B$11</f>
        <v>6124.26</v>
      </c>
      <c r="L29" s="85">
        <f>Datos!$B$31</f>
        <v>865.79</v>
      </c>
      <c r="M29" s="27"/>
    </row>
    <row r="30" spans="1:13" x14ac:dyDescent="0.2">
      <c r="A30" s="9" t="s">
        <v>62</v>
      </c>
      <c r="C30" s="8"/>
      <c r="D30" s="37"/>
      <c r="E30" s="82"/>
      <c r="F30" s="37"/>
      <c r="G30" s="37"/>
      <c r="H30" s="37"/>
      <c r="I30" s="37"/>
      <c r="L30" s="85">
        <f>+IF(D30&gt;$D$19,Datos!$D$33,Datos!$D$33/$D$19*D30)</f>
        <v>0</v>
      </c>
      <c r="M30" s="32"/>
    </row>
    <row r="31" spans="1:13" x14ac:dyDescent="0.2">
      <c r="A31" s="7" t="s">
        <v>63</v>
      </c>
      <c r="B31" s="31">
        <v>834</v>
      </c>
      <c r="C31" s="8">
        <v>1</v>
      </c>
      <c r="D31" s="37">
        <v>3125</v>
      </c>
      <c r="E31" s="82" t="s">
        <v>186</v>
      </c>
      <c r="F31" s="37">
        <f>+IF(D31&gt;$D$34,Datos!$B$16,IF(Datos!$B$16/$D$34*D31&lt;Datos!$C$16,Datos!$C$16,Datos!$B$16/$D$34*D31))</f>
        <v>798738</v>
      </c>
      <c r="G31" s="37">
        <f>+IF(D31&gt;$D$34,Datos!$B$4,IF(Datos!$B$4/$D$34*D31&lt;Datos!$C$4,Datos!$C$4,Datos!$B$4/$D$34*D31))</f>
        <v>268254</v>
      </c>
      <c r="H31" s="37">
        <f>+IF($D31&gt;$D$34,Datos!$B$7,IF(Datos!$B$7/$D$34*$D31&lt;Datos!$C$7,Datos!$C$7,Datos!$B$7/$D$34*$D31))</f>
        <v>187810</v>
      </c>
      <c r="I31" s="37">
        <f>+IF($D31&gt;$D$34,Datos!$B$10,IF(Datos!$B$10/$D$34*$D31&lt;Datos!$C$10,Datos!$C$10,Datos!$B$10/$D$34*$D31))</f>
        <v>232722</v>
      </c>
      <c r="J31" s="30">
        <v>1</v>
      </c>
      <c r="K31" s="30">
        <v>1</v>
      </c>
      <c r="L31" s="85">
        <f>+IF(D31&lt;$D$34,Datos!$B$30/$D$34*D31,Datos!$B$30)</f>
        <v>32900</v>
      </c>
      <c r="M31" s="27"/>
    </row>
    <row r="32" spans="1:13" x14ac:dyDescent="0.2">
      <c r="A32" s="7" t="s">
        <v>64</v>
      </c>
      <c r="B32" s="31">
        <v>870</v>
      </c>
      <c r="C32" s="8">
        <v>2</v>
      </c>
      <c r="D32" s="37">
        <v>2667</v>
      </c>
      <c r="E32" s="82" t="s">
        <v>186</v>
      </c>
      <c r="F32" s="37">
        <f>+IF(D32&gt;$D$34,Datos!$B$16,IF(Datos!$B$16/$D$34*D32&lt;Datos!$C$16,Datos!$C$16,Datos!$B$16/$D$34*D32))</f>
        <v>798738</v>
      </c>
      <c r="G32" s="37">
        <f>+IF(D32&gt;$D$34,Datos!$B$4,IF(Datos!$B$4/$D$34*D32&lt;Datos!$C$4,Datos!$C$4,Datos!$B$4/$D$34*D32))</f>
        <v>268254</v>
      </c>
      <c r="H32" s="37">
        <f>+IF($D32&gt;$D$34,Datos!$B$7,IF(Datos!$B$7/$D$34*$D32&lt;Datos!$C$7,Datos!$C$7,Datos!$B$7/$D$34*$D32))</f>
        <v>187810</v>
      </c>
      <c r="I32" s="37">
        <f>+IF($D32&gt;$D$34,Datos!$B$10,IF(Datos!$B$10/$D$34*$D32&lt;Datos!$C$10,Datos!$C$10,Datos!$B$10/$D$34*$D32))</f>
        <v>232722</v>
      </c>
      <c r="J32" s="30">
        <v>1</v>
      </c>
      <c r="L32" s="85">
        <f>+IF(D32&lt;$D$34,Datos!$B$30/$D$34*D32,Datos!$B$30)</f>
        <v>32900</v>
      </c>
      <c r="M32" s="27"/>
    </row>
    <row r="33" spans="1:13" x14ac:dyDescent="0.2">
      <c r="A33" s="7" t="s">
        <v>65</v>
      </c>
      <c r="B33" s="31">
        <v>849</v>
      </c>
      <c r="C33" s="8">
        <v>10</v>
      </c>
      <c r="D33" s="37">
        <v>2359</v>
      </c>
      <c r="E33" s="82" t="s">
        <v>186</v>
      </c>
      <c r="F33" s="37">
        <f>+IF(D33&gt;$D$34,Datos!$B$16,IF(Datos!$B$16/$D$34*D33&lt;Datos!$C$16,Datos!$C$16,Datos!$B$16/$D$34*D33))</f>
        <v>798738</v>
      </c>
      <c r="G33" s="37">
        <f>+IF(D33&gt;$D$34,Datos!$B$4,IF(Datos!$B$4/$D$34*D33&lt;Datos!$C$4,Datos!$C$4,Datos!$B$4/$D$34*D33))</f>
        <v>268254</v>
      </c>
      <c r="H33" s="37">
        <f>+IF($D33&gt;$D$34,Datos!$B$7,IF(Datos!$B$7/$D$34*$D33&lt;Datos!$C$7,Datos!$C$7,Datos!$B$7/$D$34*$D33))</f>
        <v>187810</v>
      </c>
      <c r="I33" s="37">
        <f>+IF($D33&gt;$D$34,Datos!$B$10,IF(Datos!$B$10/$D$34*$D33&lt;Datos!$C$10,Datos!$C$10,Datos!$B$10/$D$34*$D33))</f>
        <v>232722</v>
      </c>
      <c r="J33" s="30">
        <v>1</v>
      </c>
      <c r="L33" s="85">
        <f>+IF(D33&lt;$D$34,Datos!$B$30/$D$34*D33,Datos!$B$30)</f>
        <v>32900</v>
      </c>
      <c r="M33" s="27"/>
    </row>
    <row r="34" spans="1:13" x14ac:dyDescent="0.2">
      <c r="A34" s="7" t="s">
        <v>66</v>
      </c>
      <c r="B34" s="31">
        <v>855</v>
      </c>
      <c r="C34" s="8">
        <v>30</v>
      </c>
      <c r="D34" s="37">
        <v>2070</v>
      </c>
      <c r="E34" s="82" t="s">
        <v>186</v>
      </c>
      <c r="F34" s="37">
        <f>+IF(D34&gt;$D$34,Datos!$B$16,IF(Datos!$B$16/$D$34*D34&lt;Datos!$C$16,Datos!$C$16,Datos!$B$16/$D$34*D34))</f>
        <v>798738</v>
      </c>
      <c r="G34" s="37">
        <f>+IF(D34&gt;$D$34,Datos!$B$4,IF(Datos!$B$4/$D$34*D34&lt;Datos!$C$4,Datos!$C$4,Datos!$B$4/$D$34*D34))</f>
        <v>268254</v>
      </c>
      <c r="H34" s="37">
        <f>+IF($D34&gt;$D$34,Datos!$B$7,IF(Datos!$B$7/$D$34*$D34&lt;Datos!$C$7,Datos!$C$7,Datos!$B$7/$D$34*$D34))</f>
        <v>187810</v>
      </c>
      <c r="I34" s="37">
        <f>+IF($D34&gt;$D$34,Datos!$B$10,IF(Datos!$B$10/$D$34*$D34&lt;Datos!$C$10,Datos!$C$10,Datos!$B$10/$D$34*$D34))</f>
        <v>232722</v>
      </c>
      <c r="L34" s="85">
        <f>+IF(D34&lt;$D$34,Datos!$B$30/$D$34*D34,Datos!$B$30)</f>
        <v>32900</v>
      </c>
      <c r="M34" s="27"/>
    </row>
    <row r="35" spans="1:13" x14ac:dyDescent="0.2">
      <c r="A35" s="35" t="s">
        <v>67</v>
      </c>
      <c r="B35" s="31">
        <v>856</v>
      </c>
      <c r="C35" s="8">
        <v>20</v>
      </c>
      <c r="D35" s="37">
        <v>2070</v>
      </c>
      <c r="E35" s="82" t="s">
        <v>186</v>
      </c>
      <c r="F35" s="37">
        <f>+IF(D35&gt;$D$34,Datos!$B$16,IF(Datos!$B$16/$D$34*D35&lt;Datos!$C$16,Datos!$C$16,Datos!$B$16/$D$34*D35))</f>
        <v>798738</v>
      </c>
      <c r="G35" s="37">
        <f>+IF(D35&gt;$D$34,Datos!$B$4,IF(Datos!$B$4/$D$34*D35&lt;Datos!$C$4,Datos!$C$4,Datos!$B$4/$D$34*D35))</f>
        <v>268254</v>
      </c>
      <c r="H35" s="37">
        <f>+IF($D35&gt;$D$34,Datos!$B$7,IF(Datos!$B$7/$D$34*$D35&lt;Datos!$C$7,Datos!$C$7,Datos!$B$7/$D$34*$D35))</f>
        <v>187810</v>
      </c>
      <c r="I35" s="37">
        <f>+IF($D35&gt;$D$34,Datos!$B$10,IF(Datos!$B$10/$D$34*$D35&lt;Datos!$C$10,Datos!$C$10,Datos!$B$10/$D$34*$D35))</f>
        <v>232722</v>
      </c>
      <c r="L35" s="85">
        <f>+IF(D35&lt;$D$34,Datos!$B$30/$D$34*D35,Datos!$B$30)</f>
        <v>32900</v>
      </c>
      <c r="M35" s="27"/>
    </row>
    <row r="36" spans="1:13" x14ac:dyDescent="0.2">
      <c r="A36" s="35" t="s">
        <v>216</v>
      </c>
      <c r="B36" s="31">
        <v>6904</v>
      </c>
      <c r="C36" s="8">
        <v>15</v>
      </c>
      <c r="D36" s="37">
        <v>2359</v>
      </c>
      <c r="E36" s="82" t="s">
        <v>186</v>
      </c>
      <c r="F36" s="37">
        <f>+IF(D36&gt;$D$34,Datos!$B$16,IF(Datos!$B$16/$D$34*D36&lt;Datos!$C$16,Datos!$C$16,Datos!$B$16/$D$34*D36))</f>
        <v>798738</v>
      </c>
      <c r="G36" s="37">
        <f>+IF(D36&gt;$D$34,Datos!$B$4,IF(Datos!$B$4/$D$34*D36&lt;Datos!$C$4,Datos!$C$4,Datos!$B$4/$D$34*D36))</f>
        <v>268254</v>
      </c>
      <c r="H36" s="37">
        <f>+IF($D36&gt;$D$34,Datos!$B$7,IF(Datos!$B$7/$D$34*$D36&lt;Datos!$C$7,Datos!$C$7,Datos!$B$7/$D$34*$D36))</f>
        <v>187810</v>
      </c>
      <c r="I36" s="37">
        <f>+IF($D36&gt;$D$34,Datos!$B$10,IF(Datos!$B$10/$D$34*$D36&lt;Datos!$C$10,Datos!$C$10,Datos!$B$10/$D$34*$D36))</f>
        <v>232722</v>
      </c>
      <c r="J36" s="30">
        <v>1</v>
      </c>
      <c r="L36" s="85">
        <f>+IF(D36&lt;$D$34,Datos!$B$30/$D$34*D36,Datos!$B$30)</f>
        <v>32900</v>
      </c>
      <c r="M36" s="27"/>
    </row>
    <row r="37" spans="1:13" x14ac:dyDescent="0.2">
      <c r="A37" s="35" t="s">
        <v>217</v>
      </c>
      <c r="B37" s="31">
        <v>6906</v>
      </c>
      <c r="C37" s="8">
        <v>16</v>
      </c>
      <c r="D37" s="37">
        <v>2359</v>
      </c>
      <c r="E37" s="82" t="s">
        <v>186</v>
      </c>
      <c r="F37" s="37">
        <f>+IF(D37&gt;$D$34,Datos!$B$16,IF(Datos!$B$16/$D$34*D37&lt;Datos!$C$16,Datos!$C$16,Datos!$B$16/$D$34*D37))</f>
        <v>798738</v>
      </c>
      <c r="G37" s="37">
        <f>+IF(D37&gt;$D$34,Datos!$B$4,IF(Datos!$B$4/$D$34*D37&lt;Datos!$C$4,Datos!$C$4,Datos!$B$4/$D$34*D37))</f>
        <v>268254</v>
      </c>
      <c r="H37" s="37">
        <f>+IF($D37&gt;$D$34,Datos!$B$7,IF(Datos!$B$7/$D$34*$D37&lt;Datos!$C$7,Datos!$C$7,Datos!$B$7/$D$34*$D37))</f>
        <v>187810</v>
      </c>
      <c r="I37" s="37">
        <f>+IF($D37&gt;$D$34,Datos!$B$10,IF(Datos!$B$10/$D$34*$D37&lt;Datos!$C$10,Datos!$C$10,Datos!$B$10/$D$34*$D37))</f>
        <v>232722</v>
      </c>
      <c r="J37" s="30">
        <v>1</v>
      </c>
      <c r="L37" s="85">
        <f>+IF(D37&lt;$D$34,Datos!$B$30/$D$34*D37,Datos!$B$30)</f>
        <v>32900</v>
      </c>
      <c r="M37" s="27"/>
    </row>
    <row r="38" spans="1:13" x14ac:dyDescent="0.2">
      <c r="A38" s="7" t="s">
        <v>68</v>
      </c>
      <c r="B38" s="31">
        <v>5567</v>
      </c>
      <c r="C38" s="8">
        <v>50</v>
      </c>
      <c r="D38" s="37">
        <v>56</v>
      </c>
      <c r="E38" s="82" t="s">
        <v>187</v>
      </c>
      <c r="F38" s="37">
        <f>Datos!$B$15/20</f>
        <v>19968.45</v>
      </c>
      <c r="G38" s="37">
        <f>Datos!$B$5</f>
        <v>7059.32</v>
      </c>
      <c r="H38" s="37">
        <f>Datos!$B$8</f>
        <v>4942.37</v>
      </c>
      <c r="I38" s="37">
        <f>Datos!$B$11</f>
        <v>6124.26</v>
      </c>
      <c r="L38" s="85">
        <f>Datos!$B$31</f>
        <v>865.79</v>
      </c>
      <c r="M38" s="27"/>
    </row>
    <row r="39" spans="1:13" x14ac:dyDescent="0.2">
      <c r="A39" s="9" t="s">
        <v>69</v>
      </c>
      <c r="C39" s="8"/>
      <c r="D39" s="37"/>
      <c r="E39" s="82"/>
      <c r="F39" s="37"/>
      <c r="G39" s="37"/>
      <c r="H39" s="37"/>
      <c r="I39" s="37"/>
      <c r="L39" s="85">
        <f>+IF(D39&gt;$D$19,Datos!$D$33,Datos!$D$33/$D$19*D39)</f>
        <v>0</v>
      </c>
      <c r="M39" s="32"/>
    </row>
    <row r="40" spans="1:13" x14ac:dyDescent="0.2">
      <c r="A40" s="10" t="s">
        <v>70</v>
      </c>
      <c r="B40" s="24">
        <v>578</v>
      </c>
      <c r="C40" s="8">
        <v>1</v>
      </c>
      <c r="D40" s="37">
        <v>1187</v>
      </c>
      <c r="E40" s="82"/>
      <c r="F40" s="37">
        <f>+IF(D40&gt;$D$19,Datos!$B$15,IF(Datos!$B$15/$D$19*D40&lt;Datos!$C$15,Datos!$C$15,Datos!$B$15/$D$19*D40))</f>
        <v>399369</v>
      </c>
      <c r="G40" s="37">
        <f>+IF(D40&gt;$D$19,Datos!$B$3,IF(Datos!$B$3/$D$19*D40&lt;Datos!$C$3,Datos!$C$3,Datos!$B$3/$D$19*D40))</f>
        <v>134127</v>
      </c>
      <c r="H40" s="37">
        <f>+IF($D40&gt;$D$19,Datos!$B$6,IF(Datos!$B$6/$D$19*$D40&lt;Datos!$C$6,Datos!$C$6,Datos!$B$6/$D$19*$D40))</f>
        <v>93905</v>
      </c>
      <c r="I40" s="37">
        <f>+IF($D40&gt;$D$19,Datos!$B$9,IF(Datos!$B$9/$D$19*$D40&lt;Datos!$C$9,Datos!$C$9,Datos!$B$9/$D$19*$D40))</f>
        <v>116361</v>
      </c>
      <c r="J40" s="30">
        <v>1</v>
      </c>
      <c r="K40" s="30">
        <v>1</v>
      </c>
      <c r="L40" s="85">
        <f>+IF(D40&lt;$D$19,Datos!$B$29/$D$19*D40,Datos!$B$29)</f>
        <v>16450</v>
      </c>
      <c r="M40" s="27"/>
    </row>
    <row r="41" spans="1:13" x14ac:dyDescent="0.2">
      <c r="A41" s="11" t="s">
        <v>71</v>
      </c>
      <c r="B41" s="24">
        <v>854</v>
      </c>
      <c r="C41" s="8">
        <v>10</v>
      </c>
      <c r="D41" s="37">
        <v>960</v>
      </c>
      <c r="E41" s="82"/>
      <c r="F41" s="37">
        <f>+IF(D41&gt;$D$19,Datos!$B$15,IF(Datos!$B$15/$D$19*D41&lt;Datos!$C$15,Datos!$C$15,Datos!$B$15/$D$19*D41))</f>
        <v>337792.28</v>
      </c>
      <c r="G41" s="37">
        <f>+IF(D41&gt;$D$19,Datos!$B$3,IF(Datos!$B$3/$D$19*D41&lt;Datos!$C$3,Datos!$C$3,Datos!$B$3/$D$19*D41))</f>
        <v>127233</v>
      </c>
      <c r="H41" s="37">
        <f>+IF($D41&gt;$D$19,Datos!$B$6,IF(Datos!$B$6/$D$19*$D41&lt;Datos!$C$6,Datos!$C$6,Datos!$B$6/$D$19*$D41))</f>
        <v>90108</v>
      </c>
      <c r="I41" s="37">
        <f>+IF($D41&gt;$D$19,Datos!$B$9,IF(Datos!$B$9/$D$19*$D41&lt;Datos!$C$9,Datos!$C$9,Datos!$B$9/$D$19*$D41))</f>
        <v>111664</v>
      </c>
      <c r="J41" s="30">
        <v>1</v>
      </c>
      <c r="L41" s="85">
        <f>+IF(D41&lt;$D$19,Datos!$B$29/$D$19*D41,Datos!$B$29)</f>
        <v>13913.66</v>
      </c>
      <c r="M41" s="27"/>
    </row>
    <row r="42" spans="1:13" x14ac:dyDescent="0.2">
      <c r="A42" s="11" t="s">
        <v>72</v>
      </c>
      <c r="B42" s="24">
        <v>577</v>
      </c>
      <c r="C42" s="8">
        <v>30</v>
      </c>
      <c r="D42" s="37">
        <v>829.75</v>
      </c>
      <c r="E42" s="82"/>
      <c r="F42" s="37">
        <f>+IF(D42&gt;$D$19,Datos!$B$15,IF(Datos!$B$15/$D$19*D42&lt;Datos!$C$15,Datos!$C$15,Datos!$B$15/$D$19*D42))</f>
        <v>291961.61</v>
      </c>
      <c r="G42" s="37">
        <f>+IF(D42&gt;$D$19,Datos!$B$3,IF(Datos!$B$3/$D$19*D42&lt;Datos!$C$3,Datos!$C$3,Datos!$B$3/$D$19*D42))</f>
        <v>127233</v>
      </c>
      <c r="H42" s="37">
        <f>+IF($D42&gt;$D$19,Datos!$B$6,IF(Datos!$B$6/$D$19*$D42&lt;Datos!$C$6,Datos!$C$6,Datos!$B$6/$D$19*$D42))</f>
        <v>90108</v>
      </c>
      <c r="I42" s="37">
        <f>+IF($D42&gt;$D$19,Datos!$B$9,IF(Datos!$B$9/$D$19*$D42&lt;Datos!$C$9,Datos!$C$9,Datos!$B$9/$D$19*$D42))</f>
        <v>111664</v>
      </c>
      <c r="L42" s="85">
        <f>+IF(D42&lt;$D$19,Datos!$B$29/$D$19*D42,Datos!$B$29)</f>
        <v>12025.89</v>
      </c>
      <c r="M42" s="27"/>
    </row>
    <row r="43" spans="1:13" x14ac:dyDescent="0.2">
      <c r="A43" s="11" t="s">
        <v>73</v>
      </c>
      <c r="B43" s="24">
        <v>559</v>
      </c>
      <c r="C43" s="8">
        <v>40</v>
      </c>
      <c r="D43" s="37">
        <v>560</v>
      </c>
      <c r="E43" s="82"/>
      <c r="F43" s="37">
        <f>+IF(D43&gt;$D$19,Datos!$B$15,IF(Datos!$B$15/$D$19*D43&lt;Datos!$C$15,Datos!$C$15,Datos!$B$15/$D$19*D43))</f>
        <v>251565</v>
      </c>
      <c r="G43" s="37">
        <f>+IF(D43&gt;$D$19,Datos!$B$3,IF(Datos!$B$3/$D$19*D43&lt;Datos!$C$3,Datos!$C$3,Datos!$B$3/$D$19*D43))</f>
        <v>127233</v>
      </c>
      <c r="H43" s="37">
        <f>+IF($D43&gt;$D$19,Datos!$B$6,IF(Datos!$B$6/$D$19*$D43&lt;Datos!$C$6,Datos!$C$6,Datos!$B$6/$D$19*$D43))</f>
        <v>90108</v>
      </c>
      <c r="I43" s="37">
        <f>+IF($D43&gt;$D$19,Datos!$B$9,IF(Datos!$B$9/$D$19*$D43&lt;Datos!$C$9,Datos!$C$9,Datos!$B$9/$D$19*$D43))</f>
        <v>111664</v>
      </c>
      <c r="L43" s="85">
        <f>+IF(D43&lt;$D$19,Datos!$B$29/$D$19*D43,Datos!$B$29)</f>
        <v>8116.3</v>
      </c>
      <c r="M43" s="27"/>
    </row>
    <row r="44" spans="1:13" x14ac:dyDescent="0.2">
      <c r="A44" s="11" t="s">
        <v>74</v>
      </c>
      <c r="B44" s="24">
        <v>5568</v>
      </c>
      <c r="C44" s="8">
        <v>50</v>
      </c>
      <c r="D44" s="37">
        <v>56</v>
      </c>
      <c r="E44" s="82"/>
      <c r="F44" s="37">
        <f>Datos!$B$15/20</f>
        <v>19968.45</v>
      </c>
      <c r="G44" s="37">
        <f>Datos!$B$5</f>
        <v>7059.32</v>
      </c>
      <c r="H44" s="37">
        <f>Datos!$B$8</f>
        <v>4942.37</v>
      </c>
      <c r="I44" s="37">
        <f>Datos!$B$11</f>
        <v>6124.26</v>
      </c>
      <c r="L44" s="85">
        <f>Datos!$B$31</f>
        <v>865.79</v>
      </c>
      <c r="M44" s="27"/>
    </row>
    <row r="45" spans="1:13" x14ac:dyDescent="0.2">
      <c r="A45" s="9" t="s">
        <v>75</v>
      </c>
      <c r="C45" s="8"/>
      <c r="D45" s="37"/>
      <c r="E45" s="82"/>
      <c r="F45" s="37"/>
      <c r="G45" s="37"/>
      <c r="H45" s="37"/>
      <c r="I45" s="37"/>
      <c r="L45" s="85">
        <f>+IF(D45&gt;$D$19,Datos!$D$33,Datos!$D$33/$D$19*D45)</f>
        <v>0</v>
      </c>
      <c r="M45" s="32"/>
    </row>
    <row r="46" spans="1:13" x14ac:dyDescent="0.2">
      <c r="A46" s="34" t="s">
        <v>76</v>
      </c>
      <c r="B46" s="25">
        <v>505</v>
      </c>
      <c r="C46" s="8">
        <v>1</v>
      </c>
      <c r="D46" s="37">
        <v>3125</v>
      </c>
      <c r="E46" s="82"/>
      <c r="F46" s="37">
        <f>+IF(D46&gt;$D$34,Datos!$B$16,IF(Datos!$B$16/$D$34*D46&lt;Datos!$C$16,Datos!$C$16,Datos!$B$16/$D$34*D46))</f>
        <v>798738</v>
      </c>
      <c r="G46" s="37">
        <f>+IF(D46&gt;$D$34,Datos!$B$4,IF(Datos!$B$4/$D$34*D46&lt;Datos!$C$4,Datos!$C$4,Datos!$B$4/$D$34*D46))</f>
        <v>268254</v>
      </c>
      <c r="H46" s="37">
        <f>+IF($D46&gt;$D$34,Datos!$B$7,IF(Datos!$B$7/$D$34*$D46&lt;Datos!$C$7,Datos!$C$7,Datos!$B$7/$D$34*$D46))</f>
        <v>187810</v>
      </c>
      <c r="I46" s="37">
        <f>+IF($D46&gt;$D$34,Datos!$B$10,IF(Datos!$B$10/$D$34*$D46&lt;Datos!$C$10,Datos!$C$10,Datos!$B$10/$D$34*$D46))</f>
        <v>232722</v>
      </c>
      <c r="J46" s="30">
        <v>1</v>
      </c>
      <c r="K46" s="30">
        <v>1</v>
      </c>
      <c r="L46" s="85">
        <f>+IF(D46&lt;$D$34,Datos!$B$30/$D$34*D46,Datos!$B$30)</f>
        <v>32900</v>
      </c>
      <c r="M46" s="27"/>
    </row>
    <row r="47" spans="1:13" x14ac:dyDescent="0.2">
      <c r="A47" s="34" t="s">
        <v>179</v>
      </c>
      <c r="B47" s="25">
        <v>551</v>
      </c>
      <c r="C47" s="8">
        <v>2</v>
      </c>
      <c r="D47" s="37">
        <v>2667</v>
      </c>
      <c r="E47" s="82"/>
      <c r="F47" s="37">
        <f>+IF(D47&gt;$D$34,Datos!$B$16,IF(Datos!$B$16/$D$34*D47&lt;Datos!$C$16,Datos!$C$16,Datos!$B$16/$D$34*D47))</f>
        <v>798738</v>
      </c>
      <c r="G47" s="37">
        <f>+IF(D47&gt;$D$34,Datos!$B$4,IF(Datos!$B$4/$D$34*D47&lt;Datos!$C$4,Datos!$C$4,Datos!$B$4/$D$34*D47))</f>
        <v>268254</v>
      </c>
      <c r="H47" s="37">
        <f>+IF($D47&gt;$D$34,Datos!$B$7,IF(Datos!$B$7/$D$34*$D47&lt;Datos!$C$7,Datos!$C$7,Datos!$B$7/$D$34*$D47))</f>
        <v>187810</v>
      </c>
      <c r="I47" s="37">
        <f>+IF($D47&gt;$D$34,Datos!$B$10,IF(Datos!$B$10/$D$34*$D47&lt;Datos!$C$10,Datos!$C$10,Datos!$B$10/$D$34*$D47))</f>
        <v>232722</v>
      </c>
      <c r="J47" s="30">
        <v>1</v>
      </c>
      <c r="L47" s="85">
        <f>+IF(D47&lt;$D$34,Datos!$B$30/$D$34*D47,Datos!$B$30)</f>
        <v>32900</v>
      </c>
      <c r="M47" s="27"/>
    </row>
    <row r="48" spans="1:13" x14ac:dyDescent="0.2">
      <c r="A48" s="34" t="s">
        <v>160</v>
      </c>
      <c r="B48" s="25">
        <v>538</v>
      </c>
      <c r="C48" s="8">
        <v>3</v>
      </c>
      <c r="D48" s="37">
        <v>2359</v>
      </c>
      <c r="E48" s="82"/>
      <c r="F48" s="37">
        <f>+IF(D48&gt;$D$34,Datos!$B$16,IF(Datos!$B$16/$D$34*D48&lt;Datos!$C$16,Datos!$C$16,Datos!$B$16/$D$34*D48))</f>
        <v>798738</v>
      </c>
      <c r="G48" s="37">
        <f>+IF(D48&gt;$D$34,Datos!$B$4,IF(Datos!$B$4/$D$34*D48&lt;Datos!$C$4,Datos!$C$4,Datos!$B$4/$D$34*D48))</f>
        <v>268254</v>
      </c>
      <c r="H48" s="37">
        <f>+IF($D48&gt;$D$34,Datos!$B$7,IF(Datos!$B$7/$D$34*$D48&lt;Datos!$C$7,Datos!$C$7,Datos!$B$7/$D$34*$D48))</f>
        <v>187810</v>
      </c>
      <c r="I48" s="37">
        <f>+IF($D48&gt;$D$34,Datos!$B$10,IF(Datos!$B$10/$D$34*$D48&lt;Datos!$C$10,Datos!$C$10,Datos!$B$10/$D$34*$D48))</f>
        <v>232722</v>
      </c>
      <c r="J48" s="30">
        <v>1</v>
      </c>
      <c r="L48" s="85">
        <f>+IF(D48&lt;$D$34,Datos!$B$30/$D$34*D48,Datos!$B$30)</f>
        <v>32900</v>
      </c>
      <c r="M48" s="27"/>
    </row>
    <row r="49" spans="1:13" x14ac:dyDescent="0.2">
      <c r="A49" s="34" t="s">
        <v>77</v>
      </c>
      <c r="B49" s="25">
        <v>516</v>
      </c>
      <c r="C49" s="8">
        <v>5</v>
      </c>
      <c r="D49" s="37">
        <v>1783</v>
      </c>
      <c r="E49" s="82"/>
      <c r="F49" s="37">
        <f>+IF(D49&gt;$D$19,Datos!$B$15,IF(Datos!$B$15/$D$19*D49&lt;Datos!$C$15,Datos!$C$15,Datos!$B$15/$D$19*D49))</f>
        <v>399369</v>
      </c>
      <c r="G49" s="37">
        <f>+IF(D49&gt;$D$19,Datos!$B$3,IF(Datos!$B$3/$D$19*D49&lt;Datos!$C$3,Datos!$C$3,Datos!$B$3/$D$19*D49))</f>
        <v>134127</v>
      </c>
      <c r="H49" s="37">
        <f>+IF($D49&gt;$D$19,Datos!$B$6,IF(Datos!$B$6/$D$19*$D49&lt;Datos!$C$6,Datos!$C$6,Datos!$B$6/$D$19*$D49))</f>
        <v>93905</v>
      </c>
      <c r="I49" s="37">
        <f>+IF($D49&gt;$D$19,Datos!$B$9,IF(Datos!$B$9/$D$19*$D49&lt;Datos!$C$9,Datos!$C$9,Datos!$B$9/$D$19*$D49))</f>
        <v>116361</v>
      </c>
      <c r="J49" s="30">
        <v>1</v>
      </c>
      <c r="K49" s="30">
        <v>1</v>
      </c>
      <c r="L49" s="85">
        <f>+IF(D49&lt;$D$19,Datos!$B$29/$D$19*D49,Datos!$B$29)</f>
        <v>16450</v>
      </c>
      <c r="M49" s="27"/>
    </row>
    <row r="50" spans="1:13" x14ac:dyDescent="0.2">
      <c r="A50" s="34" t="s">
        <v>78</v>
      </c>
      <c r="B50" s="25">
        <v>576</v>
      </c>
      <c r="C50" s="8">
        <v>6</v>
      </c>
      <c r="D50" s="37">
        <v>1545</v>
      </c>
      <c r="E50" s="82"/>
      <c r="F50" s="37">
        <f>+IF(D50&gt;$D$19,Datos!$B$15,IF(Datos!$B$15/$D$19*D50&lt;Datos!$C$15,Datos!$C$15,Datos!$B$15/$D$19*D50))</f>
        <v>399369</v>
      </c>
      <c r="G50" s="37">
        <f>+IF(D50&gt;$D$19,Datos!$B$3,IF(Datos!$B$3/$D$19*D50&lt;Datos!$C$3,Datos!$C$3,Datos!$B$3/$D$19*D50))</f>
        <v>134127</v>
      </c>
      <c r="H50" s="37">
        <f>+IF($D50&gt;$D$19,Datos!$B$6,IF(Datos!$B$6/$D$19*$D50&lt;Datos!$C$6,Datos!$C$6,Datos!$B$6/$D$19*$D50))</f>
        <v>93905</v>
      </c>
      <c r="I50" s="37">
        <f>+IF($D50&gt;$D$19,Datos!$B$9,IF(Datos!$B$9/$D$19*$D50&lt;Datos!$C$9,Datos!$C$9,Datos!$B$9/$D$19*$D50))</f>
        <v>116361</v>
      </c>
      <c r="J50" s="30">
        <v>1</v>
      </c>
      <c r="L50" s="85">
        <f>+IF(D50&lt;$D$19,Datos!$B$29/$D$19*D50,Datos!$B$29)</f>
        <v>16450</v>
      </c>
      <c r="M50" s="27"/>
    </row>
    <row r="51" spans="1:13" x14ac:dyDescent="0.2">
      <c r="A51" s="34" t="s">
        <v>79</v>
      </c>
      <c r="B51" s="25">
        <v>558</v>
      </c>
      <c r="C51" s="8">
        <v>10</v>
      </c>
      <c r="D51" s="37">
        <v>1307</v>
      </c>
      <c r="E51" s="82"/>
      <c r="F51" s="37">
        <f>+IF(D51&gt;$D$19,Datos!$B$15,IF(Datos!$B$15/$D$19*D51&lt;Datos!$C$15,Datos!$C$15,Datos!$B$15/$D$19*D51))</f>
        <v>399369</v>
      </c>
      <c r="G51" s="37">
        <f>+IF(D51&gt;$D$19,Datos!$B$3,IF(Datos!$B$3/$D$19*D51&lt;Datos!$C$3,Datos!$C$3,Datos!$B$3/$D$19*D51))</f>
        <v>134127</v>
      </c>
      <c r="H51" s="37">
        <f>+IF($D51&gt;$D$19,Datos!$B$6,IF(Datos!$B$6/$D$19*$D51&lt;Datos!$C$6,Datos!$C$6,Datos!$B$6/$D$19*$D51))</f>
        <v>93905</v>
      </c>
      <c r="I51" s="37">
        <f>+IF($D51&gt;$D$19,Datos!$B$9,IF(Datos!$B$9/$D$19*$D51&lt;Datos!$C$9,Datos!$C$9,Datos!$B$9/$D$19*$D51))</f>
        <v>116361</v>
      </c>
      <c r="J51" s="30">
        <v>1</v>
      </c>
      <c r="L51" s="85">
        <f>+IF(D51&lt;$D$19,Datos!$B$29/$D$19*D51,Datos!$B$29)</f>
        <v>16450</v>
      </c>
      <c r="M51" s="27"/>
    </row>
    <row r="52" spans="1:13" x14ac:dyDescent="0.2">
      <c r="A52" s="34" t="s">
        <v>182</v>
      </c>
      <c r="B52" s="25">
        <v>539</v>
      </c>
      <c r="C52" s="8">
        <v>20</v>
      </c>
      <c r="D52" s="37">
        <v>1135</v>
      </c>
      <c r="E52" s="82"/>
      <c r="F52" s="37">
        <f>+IF(D52&gt;$D$19,Datos!$B$15,IF(Datos!$B$15/$D$19*D52&lt;Datos!$C$15,Datos!$C$15,Datos!$B$15/$D$19*D52))</f>
        <v>399369</v>
      </c>
      <c r="G52" s="37">
        <f>+IF(D52&gt;$D$19,Datos!$B$3,IF(Datos!$B$3/$D$19*D52&lt;Datos!$C$3,Datos!$C$3,Datos!$B$3/$D$19*D52))</f>
        <v>134127</v>
      </c>
      <c r="H52" s="37">
        <f>+IF($D52&gt;$D$19,Datos!$B$6,IF(Datos!$B$6/$D$19*$D52&lt;Datos!$C$6,Datos!$C$6,Datos!$B$6/$D$19*$D52))</f>
        <v>93905</v>
      </c>
      <c r="I52" s="37">
        <f>+IF($D52&gt;$D$19,Datos!$B$9,IF(Datos!$B$9/$D$19*$D52&lt;Datos!$C$9,Datos!$C$9,Datos!$B$9/$D$19*$D52))</f>
        <v>116361</v>
      </c>
      <c r="L52" s="85">
        <f>+IF(D52&lt;$D$19,Datos!$B$29/$D$19*D52,Datos!$B$29)</f>
        <v>16450</v>
      </c>
      <c r="M52" s="27"/>
    </row>
    <row r="53" spans="1:13" x14ac:dyDescent="0.2">
      <c r="A53" s="34" t="s">
        <v>80</v>
      </c>
      <c r="B53" s="25">
        <v>540</v>
      </c>
      <c r="C53" s="8">
        <v>25</v>
      </c>
      <c r="D53" s="37">
        <v>1135</v>
      </c>
      <c r="E53" s="82"/>
      <c r="F53" s="37">
        <f>+IF(D53&gt;$D$19,Datos!$B$15,IF(Datos!$B$15/$D$19*D53&lt;Datos!$C$15,Datos!$C$15,Datos!$B$15/$D$19*D53))</f>
        <v>399369</v>
      </c>
      <c r="G53" s="37">
        <f>+IF(D53&gt;$D$19,Datos!$B$3,IF(Datos!$B$3/$D$19*D53&lt;Datos!$C$3,Datos!$C$3,Datos!$B$3/$D$19*D53))</f>
        <v>134127</v>
      </c>
      <c r="H53" s="37">
        <f>+IF($D53&gt;$D$19,Datos!$B$6,IF(Datos!$B$6/$D$19*$D53&lt;Datos!$C$6,Datos!$C$6,Datos!$B$6/$D$19*$D53))</f>
        <v>93905</v>
      </c>
      <c r="I53" s="37">
        <f>+IF($D53&gt;$D$19,Datos!$B$9,IF(Datos!$B$9/$D$19*$D53&lt;Datos!$C$9,Datos!$C$9,Datos!$B$9/$D$19*$D53))</f>
        <v>116361</v>
      </c>
      <c r="L53" s="85">
        <f>+IF(D53&lt;$D$19,Datos!$B$29/$D$19*D53,Datos!$B$29)</f>
        <v>16450</v>
      </c>
      <c r="M53" s="27"/>
    </row>
    <row r="54" spans="1:13" x14ac:dyDescent="0.2">
      <c r="A54" s="34" t="s">
        <v>81</v>
      </c>
      <c r="B54" s="25">
        <v>541</v>
      </c>
      <c r="C54" s="8"/>
      <c r="D54" s="37">
        <v>1135</v>
      </c>
      <c r="E54" s="82"/>
      <c r="F54" s="37">
        <f>+IF(D54&gt;$D$19,Datos!$B$15,IF(Datos!$B$15/$D$19*D54&lt;Datos!$C$15,Datos!$C$15,Datos!$B$15/$D$19*D54))</f>
        <v>399369</v>
      </c>
      <c r="G54" s="37">
        <f>+IF(D54&gt;$D$19,Datos!$B$3,IF(Datos!$B$3/$D$19*D54&lt;Datos!$C$3,Datos!$C$3,Datos!$B$3/$D$19*D54))</f>
        <v>134127</v>
      </c>
      <c r="H54" s="37">
        <f>+IF($D54&gt;$D$19,Datos!$B$6,IF(Datos!$B$6/$D$19*$D54&lt;Datos!$C$6,Datos!$C$6,Datos!$B$6/$D$19*$D54))</f>
        <v>93905</v>
      </c>
      <c r="I54" s="37">
        <f>+IF($D54&gt;$D$19,Datos!$B$9,IF(Datos!$B$9/$D$19*$D54&lt;Datos!$C$9,Datos!$C$9,Datos!$B$9/$D$19*$D54))</f>
        <v>116361</v>
      </c>
      <c r="L54" s="85">
        <f>+IF(D54&lt;$D$19,Datos!$B$29/$D$19*D54,Datos!$B$29)</f>
        <v>16450</v>
      </c>
      <c r="M54" s="27"/>
    </row>
    <row r="55" spans="1:13" x14ac:dyDescent="0.2">
      <c r="A55" s="34" t="s">
        <v>82</v>
      </c>
      <c r="B55" s="25">
        <v>850</v>
      </c>
      <c r="C55" s="8"/>
      <c r="D55" s="37">
        <v>1135</v>
      </c>
      <c r="E55" s="82"/>
      <c r="F55" s="37">
        <f>+IF(D55&gt;$D$19,Datos!$B$15,IF(Datos!$B$15/$D$19*D55&lt;Datos!$C$15,Datos!$C$15,Datos!$B$15/$D$19*D55))</f>
        <v>399369</v>
      </c>
      <c r="G55" s="37">
        <f>+IF(D55&gt;$D$19,Datos!$B$3,IF(Datos!$B$3/$D$19*D55&lt;Datos!$C$3,Datos!$C$3,Datos!$B$3/$D$19*D55))</f>
        <v>134127</v>
      </c>
      <c r="H55" s="37">
        <f>+IF($D55&gt;$D$19,Datos!$B$6,IF(Datos!$B$6/$D$19*$D55&lt;Datos!$C$6,Datos!$C$6,Datos!$B$6/$D$19*$D55))</f>
        <v>93905</v>
      </c>
      <c r="I55" s="37">
        <f>+IF($D55&gt;$D$19,Datos!$B$9,IF(Datos!$B$9/$D$19*$D55&lt;Datos!$C$9,Datos!$C$9,Datos!$B$9/$D$19*$D55))</f>
        <v>116361</v>
      </c>
      <c r="L55" s="85">
        <f>+IF(D55&lt;$D$19,Datos!$B$29/$D$19*D55,Datos!$B$29)</f>
        <v>16450</v>
      </c>
      <c r="M55" s="27"/>
    </row>
    <row r="56" spans="1:13" x14ac:dyDescent="0.2">
      <c r="A56" s="34" t="s">
        <v>83</v>
      </c>
      <c r="B56" s="25">
        <v>852</v>
      </c>
      <c r="C56" s="8"/>
      <c r="D56" s="37">
        <v>1135</v>
      </c>
      <c r="E56" s="82"/>
      <c r="F56" s="37">
        <f>+IF(D56&gt;$D$19,Datos!$B$15,IF(Datos!$B$15/$D$19*D56&lt;Datos!$C$15,Datos!$C$15,Datos!$B$15/$D$19*D56))</f>
        <v>399369</v>
      </c>
      <c r="G56" s="37">
        <f>+IF(D56&gt;$D$19,Datos!$B$3,IF(Datos!$B$3/$D$19*D56&lt;Datos!$C$3,Datos!$C$3,Datos!$B$3/$D$19*D56))</f>
        <v>134127</v>
      </c>
      <c r="H56" s="37">
        <f>+IF($D56&gt;$D$19,Datos!$B$6,IF(Datos!$B$6/$D$19*$D56&lt;Datos!$C$6,Datos!$C$6,Datos!$B$6/$D$19*$D56))</f>
        <v>93905</v>
      </c>
      <c r="I56" s="37">
        <f>+IF($D56&gt;$D$19,Datos!$B$9,IF(Datos!$B$9/$D$19*$D56&lt;Datos!$C$9,Datos!$C$9,Datos!$B$9/$D$19*$D56))</f>
        <v>116361</v>
      </c>
      <c r="L56" s="85">
        <f>+IF(D56&lt;$D$19,Datos!$B$29/$D$19*D56,Datos!$B$29)</f>
        <v>16450</v>
      </c>
      <c r="M56" s="27"/>
    </row>
    <row r="57" spans="1:13" x14ac:dyDescent="0.2">
      <c r="A57" s="34" t="s">
        <v>84</v>
      </c>
      <c r="B57" s="25">
        <v>546</v>
      </c>
      <c r="C57" s="8"/>
      <c r="D57" s="37">
        <v>1135</v>
      </c>
      <c r="E57" s="82"/>
      <c r="F57" s="37">
        <f>+IF(D57&gt;$D$19,Datos!$B$15,IF(Datos!$B$15/$D$19*D57&lt;Datos!$C$15,Datos!$C$15,Datos!$B$15/$D$19*D57))</f>
        <v>399369</v>
      </c>
      <c r="G57" s="37">
        <f>+IF(D57&gt;$D$19,Datos!$B$3,IF(Datos!$B$3/$D$19*D57&lt;Datos!$C$3,Datos!$C$3,Datos!$B$3/$D$19*D57))</f>
        <v>134127</v>
      </c>
      <c r="H57" s="37">
        <f>+IF($D57&gt;$D$19,Datos!$B$6,IF(Datos!$B$6/$D$19*$D57&lt;Datos!$C$6,Datos!$C$6,Datos!$B$6/$D$19*$D57))</f>
        <v>93905</v>
      </c>
      <c r="I57" s="37">
        <f>+IF($D57&gt;$D$19,Datos!$B$9,IF(Datos!$B$9/$D$19*$D57&lt;Datos!$C$9,Datos!$C$9,Datos!$B$9/$D$19*$D57))</f>
        <v>116361</v>
      </c>
      <c r="L57" s="85">
        <f>+IF(D57&lt;$D$19,Datos!$B$29/$D$19*D57,Datos!$B$29)</f>
        <v>16450</v>
      </c>
      <c r="M57" s="27"/>
    </row>
    <row r="58" spans="1:13" x14ac:dyDescent="0.2">
      <c r="A58" s="34" t="s">
        <v>85</v>
      </c>
      <c r="B58" s="25">
        <v>571</v>
      </c>
      <c r="C58" s="8"/>
      <c r="D58" s="37">
        <v>1135</v>
      </c>
      <c r="E58" s="82"/>
      <c r="F58" s="37">
        <f>+IF(D58&gt;$D$19,Datos!$B$15,IF(Datos!$B$15/$D$19*D58&lt;Datos!$C$15,Datos!$C$15,Datos!$B$15/$D$19*D58))</f>
        <v>399369</v>
      </c>
      <c r="G58" s="37">
        <f>+IF(D58&gt;$D$19,Datos!$B$3,IF(Datos!$B$3/$D$19*D58&lt;Datos!$C$3,Datos!$C$3,Datos!$B$3/$D$19*D58))</f>
        <v>134127</v>
      </c>
      <c r="H58" s="37">
        <f>+IF($D58&gt;$D$19,Datos!$B$6,IF(Datos!$B$6/$D$19*$D58&lt;Datos!$C$6,Datos!$C$6,Datos!$B$6/$D$19*$D58))</f>
        <v>93905</v>
      </c>
      <c r="I58" s="37">
        <f>+IF($D58&gt;$D$19,Datos!$B$9,IF(Datos!$B$9/$D$19*$D58&lt;Datos!$C$9,Datos!$C$9,Datos!$B$9/$D$19*$D58))</f>
        <v>116361</v>
      </c>
      <c r="L58" s="85">
        <f>+IF(D58&lt;$D$19,Datos!$B$29/$D$19*D58,Datos!$B$29)</f>
        <v>16450</v>
      </c>
      <c r="M58" s="27"/>
    </row>
    <row r="59" spans="1:13" x14ac:dyDescent="0.2">
      <c r="A59" s="34" t="s">
        <v>86</v>
      </c>
      <c r="B59" s="25">
        <v>582</v>
      </c>
      <c r="C59" s="8"/>
      <c r="D59" s="37">
        <v>959.5</v>
      </c>
      <c r="E59" s="82"/>
      <c r="F59" s="37">
        <f>+IF(D59&gt;$D$19,Datos!$B$15,IF(Datos!$B$15/$D$19*D59&lt;Datos!$C$15,Datos!$C$15,Datos!$B$15/$D$19*D59))</f>
        <v>337616.35</v>
      </c>
      <c r="G59" s="37">
        <f>+IF(D59&gt;$D$19,Datos!$B$3,IF(Datos!$B$3/$D$19*D59&lt;Datos!$C$3,Datos!$C$3,Datos!$B$3/$D$19*D59))</f>
        <v>127233</v>
      </c>
      <c r="H59" s="37">
        <f>+IF($D59&gt;$D$19,Datos!$B$6,IF(Datos!$B$6/$D$19*$D59&lt;Datos!$C$6,Datos!$C$6,Datos!$B$6/$D$19*$D59))</f>
        <v>90108</v>
      </c>
      <c r="I59" s="37">
        <f>+IF($D59&gt;$D$19,Datos!$B$9,IF(Datos!$B$9/$D$19*$D59&lt;Datos!$C$9,Datos!$C$9,Datos!$B$9/$D$19*$D59))</f>
        <v>111664</v>
      </c>
      <c r="L59" s="85">
        <f>+IF(D59&lt;$D$19,Datos!$B$29/$D$19*D59,Datos!$B$29)</f>
        <v>13906.41</v>
      </c>
      <c r="M59" s="27"/>
    </row>
    <row r="60" spans="1:13" x14ac:dyDescent="0.2">
      <c r="A60" s="34" t="s">
        <v>87</v>
      </c>
      <c r="B60" s="25">
        <v>583</v>
      </c>
      <c r="C60" s="8"/>
      <c r="D60" s="37">
        <v>982</v>
      </c>
      <c r="E60" s="82"/>
      <c r="F60" s="37">
        <f>+IF(D60&gt;$D$19,Datos!$B$15,IF(Datos!$B$15/$D$19*D60&lt;Datos!$C$15,Datos!$C$15,Datos!$B$15/$D$19*D60))</f>
        <v>345533.36</v>
      </c>
      <c r="G60" s="37">
        <f>+IF(D60&gt;$D$19,Datos!$B$3,IF(Datos!$B$3/$D$19*D60&lt;Datos!$C$3,Datos!$C$3,Datos!$B$3/$D$19*D60))</f>
        <v>127233</v>
      </c>
      <c r="H60" s="37">
        <f>+IF($D60&gt;$D$19,Datos!$B$6,IF(Datos!$B$6/$D$19*$D60&lt;Datos!$C$6,Datos!$C$6,Datos!$B$6/$D$19*$D60))</f>
        <v>90108</v>
      </c>
      <c r="I60" s="37">
        <f>+IF($D60&gt;$D$19,Datos!$B$9,IF(Datos!$B$9/$D$19*$D60&lt;Datos!$C$9,Datos!$C$9,Datos!$B$9/$D$19*$D60))</f>
        <v>111664</v>
      </c>
      <c r="L60" s="85">
        <f>+IF(D60&lt;$D$19,Datos!$B$29/$D$19*D60,Datos!$B$29)</f>
        <v>14232.51</v>
      </c>
      <c r="M60" s="27"/>
    </row>
    <row r="61" spans="1:13" x14ac:dyDescent="0.2">
      <c r="A61" s="34" t="s">
        <v>88</v>
      </c>
      <c r="B61" s="25">
        <v>554</v>
      </c>
      <c r="C61" s="8"/>
      <c r="D61" s="37">
        <v>810</v>
      </c>
      <c r="E61" s="82"/>
      <c r="F61" s="37">
        <f>+IF(D61&gt;$D$19,Datos!$B$15,IF(Datos!$B$15/$D$19*D61&lt;Datos!$C$15,Datos!$C$15,Datos!$B$15/$D$19*D61))</f>
        <v>285012.24</v>
      </c>
      <c r="G61" s="37">
        <f>+IF(D61&gt;$D$19,Datos!$B$3,IF(Datos!$B$3/$D$19*D61&lt;Datos!$C$3,Datos!$C$3,Datos!$B$3/$D$19*D61))</f>
        <v>127233</v>
      </c>
      <c r="H61" s="37">
        <f>+IF($D61&gt;$D$19,Datos!$B$6,IF(Datos!$B$6/$D$19*$D61&lt;Datos!$C$6,Datos!$C$6,Datos!$B$6/$D$19*$D61))</f>
        <v>90108</v>
      </c>
      <c r="I61" s="37">
        <f>+IF($D61&gt;$D$19,Datos!$B$9,IF(Datos!$B$9/$D$19*$D61&lt;Datos!$C$9,Datos!$C$9,Datos!$B$9/$D$19*$D61))</f>
        <v>111664</v>
      </c>
      <c r="L61" s="85">
        <f>+IF(D61&lt;$D$19,Datos!$B$29/$D$19*D61,Datos!$B$29)</f>
        <v>11739.65</v>
      </c>
      <c r="M61" s="27"/>
    </row>
    <row r="62" spans="1:13" x14ac:dyDescent="0.2">
      <c r="A62" s="34" t="s">
        <v>89</v>
      </c>
      <c r="B62" s="25">
        <v>536</v>
      </c>
      <c r="C62" s="8"/>
      <c r="D62" s="37">
        <v>1135</v>
      </c>
      <c r="E62" s="82"/>
      <c r="F62" s="37">
        <f>+IF(D62&gt;$D$19,Datos!$B$15,IF(Datos!$B$15/$D$19*D62&lt;Datos!$C$15,Datos!$C$15,Datos!$B$15/$D$19*D62))</f>
        <v>399369</v>
      </c>
      <c r="G62" s="37">
        <f>+IF(D62&gt;$D$19,Datos!$B$3,IF(Datos!$B$3/$D$19*D62&lt;Datos!$C$3,Datos!$C$3,Datos!$B$3/$D$19*D62))</f>
        <v>134127</v>
      </c>
      <c r="H62" s="37">
        <f>+IF($D62&gt;$D$19,Datos!$B$6,IF(Datos!$B$6/$D$19*$D62&lt;Datos!$C$6,Datos!$C$6,Datos!$B$6/$D$19*$D62))</f>
        <v>93905</v>
      </c>
      <c r="I62" s="37">
        <f>+IF($D62&gt;$D$19,Datos!$B$9,IF(Datos!$B$9/$D$19*$D62&lt;Datos!$C$9,Datos!$C$9,Datos!$B$9/$D$19*$D62))</f>
        <v>116361</v>
      </c>
      <c r="L62" s="85">
        <f>+IF(D62&lt;$D$19,Datos!$B$29/$D$19*D62,Datos!$B$29)</f>
        <v>16450</v>
      </c>
      <c r="M62" s="27"/>
    </row>
    <row r="63" spans="1:13" x14ac:dyDescent="0.2">
      <c r="A63" s="34" t="s">
        <v>56</v>
      </c>
      <c r="B63" s="25">
        <v>580</v>
      </c>
      <c r="C63" s="8"/>
      <c r="D63" s="37">
        <v>1135</v>
      </c>
      <c r="E63" s="82"/>
      <c r="F63" s="37">
        <f>+IF(D63&gt;$D$19,Datos!$B$15,IF(Datos!$B$15/$D$19*D63&lt;Datos!$C$15,Datos!$C$15,Datos!$B$15/$D$19*D63))</f>
        <v>399369</v>
      </c>
      <c r="G63" s="37">
        <f>+IF(D63&gt;$D$19,Datos!$B$3,IF(Datos!$B$3/$D$19*D63&lt;Datos!$C$3,Datos!$C$3,Datos!$B$3/$D$19*D63))</f>
        <v>134127</v>
      </c>
      <c r="H63" s="37">
        <f>+IF($D63&gt;$D$19,Datos!$B$6,IF(Datos!$B$6/$D$19*$D63&lt;Datos!$C$6,Datos!$C$6,Datos!$B$6/$D$19*$D63))</f>
        <v>93905</v>
      </c>
      <c r="I63" s="37">
        <f>+IF($D63&gt;$D$19,Datos!$B$9,IF(Datos!$B$9/$D$19*$D63&lt;Datos!$C$9,Datos!$C$9,Datos!$B$9/$D$19*$D63))</f>
        <v>116361</v>
      </c>
      <c r="L63" s="85">
        <f>+IF(D63&lt;$D$19,Datos!$B$29/$D$19*D63,Datos!$B$29)</f>
        <v>16450</v>
      </c>
      <c r="M63" s="27"/>
    </row>
    <row r="64" spans="1:13" x14ac:dyDescent="0.2">
      <c r="A64" s="34" t="s">
        <v>90</v>
      </c>
      <c r="B64" s="25">
        <v>6539</v>
      </c>
      <c r="C64" s="8"/>
      <c r="D64" s="37">
        <v>56</v>
      </c>
      <c r="E64" s="82"/>
      <c r="F64" s="37">
        <f>Datos!$B$15/20</f>
        <v>19968.45</v>
      </c>
      <c r="G64" s="37">
        <f>Datos!$B$5</f>
        <v>7059.32</v>
      </c>
      <c r="H64" s="37">
        <f>Datos!$B$8</f>
        <v>4942.37</v>
      </c>
      <c r="I64" s="37">
        <f>Datos!$B$11</f>
        <v>6124.26</v>
      </c>
      <c r="L64" s="85">
        <f>Datos!$B$31</f>
        <v>865.79</v>
      </c>
      <c r="M64" s="27"/>
    </row>
    <row r="65" spans="1:13" x14ac:dyDescent="0.2">
      <c r="A65" s="34" t="s">
        <v>91</v>
      </c>
      <c r="B65" s="25">
        <v>6540</v>
      </c>
      <c r="C65" s="8"/>
      <c r="D65" s="37">
        <v>56.75</v>
      </c>
      <c r="E65" s="82"/>
      <c r="F65" s="37">
        <f>Datos!$B$15/20</f>
        <v>19968.45</v>
      </c>
      <c r="G65" s="37">
        <f>Datos!$B$5</f>
        <v>7059.32</v>
      </c>
      <c r="H65" s="37">
        <f>Datos!$B$8</f>
        <v>4942.37</v>
      </c>
      <c r="I65" s="37">
        <f>Datos!$B$11</f>
        <v>6124.26</v>
      </c>
      <c r="L65" s="85">
        <f>Datos!$B$31</f>
        <v>865.79</v>
      </c>
      <c r="M65" s="27"/>
    </row>
    <row r="66" spans="1:13" x14ac:dyDescent="0.2">
      <c r="A66" s="34" t="s">
        <v>92</v>
      </c>
      <c r="B66" s="25">
        <v>6541</v>
      </c>
      <c r="C66" s="8"/>
      <c r="D66" s="37">
        <v>56.75</v>
      </c>
      <c r="E66" s="82"/>
      <c r="F66" s="37">
        <f>Datos!$B$15/20</f>
        <v>19968.45</v>
      </c>
      <c r="G66" s="37">
        <f>Datos!$B$5</f>
        <v>7059.32</v>
      </c>
      <c r="H66" s="37">
        <f>Datos!$B$8</f>
        <v>4942.37</v>
      </c>
      <c r="I66" s="37">
        <f>Datos!$B$11</f>
        <v>6124.26</v>
      </c>
      <c r="L66" s="85">
        <f>Datos!$B$31</f>
        <v>865.79</v>
      </c>
      <c r="M66" s="27"/>
    </row>
    <row r="67" spans="1:13" x14ac:dyDescent="0.2">
      <c r="A67" s="34" t="s">
        <v>93</v>
      </c>
      <c r="B67" s="25">
        <v>6850</v>
      </c>
      <c r="C67" s="8"/>
      <c r="D67" s="37">
        <v>56.75</v>
      </c>
      <c r="E67" s="82"/>
      <c r="F67" s="37">
        <f>Datos!$B$15/20</f>
        <v>19968.45</v>
      </c>
      <c r="G67" s="37">
        <f>Datos!$B$5</f>
        <v>7059.32</v>
      </c>
      <c r="H67" s="37">
        <f>Datos!$B$8</f>
        <v>4942.37</v>
      </c>
      <c r="I67" s="37">
        <f>Datos!$B$11</f>
        <v>6124.26</v>
      </c>
      <c r="L67" s="85">
        <f>Datos!$B$31</f>
        <v>865.79</v>
      </c>
      <c r="M67" s="27"/>
    </row>
    <row r="68" spans="1:13" x14ac:dyDescent="0.2">
      <c r="A68" s="34" t="s">
        <v>94</v>
      </c>
      <c r="B68" s="25">
        <v>6546</v>
      </c>
      <c r="C68" s="8"/>
      <c r="D68" s="37">
        <v>74.67</v>
      </c>
      <c r="E68" s="82"/>
      <c r="F68" s="37">
        <f>Datos!$B$15/20</f>
        <v>19968.45</v>
      </c>
      <c r="G68" s="37">
        <f>Datos!$B$5</f>
        <v>7059.32</v>
      </c>
      <c r="H68" s="37">
        <f>Datos!$B$8</f>
        <v>4942.37</v>
      </c>
      <c r="I68" s="37">
        <f>Datos!$B$11</f>
        <v>6124.26</v>
      </c>
      <c r="L68" s="85">
        <f>Datos!$B$31</f>
        <v>865.79</v>
      </c>
      <c r="M68" s="27"/>
    </row>
    <row r="69" spans="1:13" x14ac:dyDescent="0.2">
      <c r="A69" s="34" t="s">
        <v>95</v>
      </c>
      <c r="B69" s="25">
        <v>6571</v>
      </c>
      <c r="C69" s="8"/>
      <c r="D69" s="37">
        <v>56.75</v>
      </c>
      <c r="E69" s="82"/>
      <c r="F69" s="37">
        <f>Datos!$B$15/20</f>
        <v>19968.45</v>
      </c>
      <c r="G69" s="37">
        <f>Datos!$B$5</f>
        <v>7059.32</v>
      </c>
      <c r="H69" s="37">
        <f>Datos!$B$8</f>
        <v>4942.37</v>
      </c>
      <c r="I69" s="37">
        <f>Datos!$B$11</f>
        <v>6124.26</v>
      </c>
      <c r="L69" s="85">
        <f>Datos!$B$31</f>
        <v>865.79</v>
      </c>
      <c r="M69" s="27"/>
    </row>
    <row r="70" spans="1:13" x14ac:dyDescent="0.2">
      <c r="A70" s="34" t="s">
        <v>96</v>
      </c>
      <c r="B70" s="25">
        <v>6508</v>
      </c>
      <c r="C70" s="8"/>
      <c r="D70" s="37">
        <v>56</v>
      </c>
      <c r="E70" s="82"/>
      <c r="F70" s="37">
        <f>Datos!$B$15/20</f>
        <v>19968.45</v>
      </c>
      <c r="G70" s="37">
        <f>Datos!$B$5</f>
        <v>7059.32</v>
      </c>
      <c r="H70" s="37">
        <f>Datos!$B$8</f>
        <v>4942.37</v>
      </c>
      <c r="I70" s="37">
        <f>Datos!$B$11</f>
        <v>6124.26</v>
      </c>
      <c r="L70" s="85">
        <f>Datos!$B$31</f>
        <v>865.79</v>
      </c>
      <c r="M70" s="27"/>
    </row>
    <row r="71" spans="1:13" x14ac:dyDescent="0.2">
      <c r="A71" s="11" t="s">
        <v>97</v>
      </c>
      <c r="B71" s="25">
        <v>6536</v>
      </c>
      <c r="C71" s="8"/>
      <c r="D71" s="37">
        <v>56.75</v>
      </c>
      <c r="E71" s="82"/>
      <c r="F71" s="37">
        <f>Datos!$B$15/20</f>
        <v>19968.45</v>
      </c>
      <c r="G71" s="37">
        <f>Datos!$B$5</f>
        <v>7059.32</v>
      </c>
      <c r="H71" s="37">
        <f>Datos!$B$8</f>
        <v>4942.37</v>
      </c>
      <c r="I71" s="37">
        <f>Datos!$B$11</f>
        <v>6124.26</v>
      </c>
      <c r="L71" s="85">
        <f>Datos!$B$31</f>
        <v>865.79</v>
      </c>
      <c r="M71" s="27"/>
    </row>
    <row r="72" spans="1:13" x14ac:dyDescent="0.2">
      <c r="A72" s="9" t="s">
        <v>98</v>
      </c>
      <c r="C72" s="8"/>
      <c r="D72" s="37"/>
      <c r="E72" s="82"/>
      <c r="F72" s="37"/>
      <c r="G72" s="37"/>
      <c r="H72" s="37"/>
      <c r="I72" s="37"/>
      <c r="L72" s="85">
        <f>+IF(D72&gt;$D$19,Datos!$D$33,Datos!$D$33/$D$19*D72)</f>
        <v>0</v>
      </c>
      <c r="M72" s="27"/>
    </row>
    <row r="73" spans="1:13" x14ac:dyDescent="0.2">
      <c r="A73" s="11" t="s">
        <v>99</v>
      </c>
      <c r="B73" s="24">
        <v>603</v>
      </c>
      <c r="C73" s="8">
        <v>1</v>
      </c>
      <c r="D73" s="37">
        <v>3128</v>
      </c>
      <c r="E73" s="82"/>
      <c r="F73" s="37">
        <f>+IF(D73&gt;$D$19,Datos!$B$15,IF(Datos!$B$15/$D$19*D73&lt;Datos!$C$15,Datos!$C$15,Datos!$B$15/$D$19*D73))</f>
        <v>399369</v>
      </c>
      <c r="G73" s="37">
        <f>+IF(D73&gt;$D$19,Datos!$B$3,IF(Datos!$B$3/$D$19*D73&lt;Datos!$C$3,Datos!$C$3,Datos!$B$3/$D$19*D73))</f>
        <v>134127</v>
      </c>
      <c r="H73" s="37">
        <f>+IF($D73&gt;$D$19,Datos!$B$6,IF(Datos!$B$6/$D$19*$D73&lt;Datos!$C$6,Datos!$C$6,Datos!$B$6/$D$19*$D73))</f>
        <v>93905</v>
      </c>
      <c r="I73" s="37">
        <f>+IF($D73&gt;$D$19,Datos!$B$9,IF(Datos!$B$9/$D$19*$D73&lt;Datos!$C$9,Datos!$C$9,Datos!$B$9/$D$19*$D73))</f>
        <v>116361</v>
      </c>
      <c r="J73" s="30">
        <v>1</v>
      </c>
      <c r="K73" s="30">
        <v>1</v>
      </c>
      <c r="L73" s="85">
        <f>+IF(D73&lt;$D$19,Datos!$B$29/$D$19*D73,Datos!$B$29)</f>
        <v>16450</v>
      </c>
      <c r="M73" s="27"/>
    </row>
    <row r="74" spans="1:13" x14ac:dyDescent="0.2">
      <c r="A74" s="11" t="s">
        <v>100</v>
      </c>
      <c r="B74" s="24">
        <v>1515</v>
      </c>
      <c r="C74" s="8">
        <v>5</v>
      </c>
      <c r="D74" s="37">
        <v>2669</v>
      </c>
      <c r="E74" s="82"/>
      <c r="F74" s="37">
        <f>+IF(D74&gt;$D$19,Datos!$B$15,IF(Datos!$B$15/$D$19*D74&lt;Datos!$C$15,Datos!$C$15,Datos!$B$15/$D$19*D74))</f>
        <v>399369</v>
      </c>
      <c r="G74" s="37">
        <f>+IF(D74&gt;$D$19,Datos!$B$3,IF(Datos!$B$3/$D$19*D74&lt;Datos!$C$3,Datos!$C$3,Datos!$B$3/$D$19*D74))</f>
        <v>134127</v>
      </c>
      <c r="H74" s="37">
        <f>+IF($D74&gt;$D$19,Datos!$B$6,IF(Datos!$B$6/$D$19*$D74&lt;Datos!$C$6,Datos!$C$6,Datos!$B$6/$D$19*$D74))</f>
        <v>93905</v>
      </c>
      <c r="I74" s="37">
        <f>+IF($D74&gt;$D$19,Datos!$B$9,IF(Datos!$B$9/$D$19*$D74&lt;Datos!$C$9,Datos!$C$9,Datos!$B$9/$D$19*$D74))</f>
        <v>116361</v>
      </c>
      <c r="J74" s="30">
        <v>1</v>
      </c>
      <c r="L74" s="85">
        <f>+IF(D74&lt;$D$19,Datos!$B$29/$D$19*D74,Datos!$B$29)</f>
        <v>16450</v>
      </c>
      <c r="M74" s="27"/>
    </row>
    <row r="75" spans="1:13" x14ac:dyDescent="0.2">
      <c r="A75" s="11" t="s">
        <v>101</v>
      </c>
      <c r="B75" s="24">
        <v>1532</v>
      </c>
      <c r="C75" s="8">
        <v>10</v>
      </c>
      <c r="D75" s="37">
        <f>1924+146</f>
        <v>2070</v>
      </c>
      <c r="E75" s="82"/>
      <c r="F75" s="37">
        <f>+IF(D75&gt;$D$19,Datos!$B$15,IF(Datos!$B$15/$D$19*D75&lt;Datos!$C$15,Datos!$C$15,Datos!$B$15/$D$19*D75))</f>
        <v>399369</v>
      </c>
      <c r="G75" s="37">
        <f>+IF(D75&gt;$D$19,Datos!$B$3,IF(Datos!$B$3/$D$19*D75&lt;Datos!$C$3,Datos!$C$3,Datos!$B$3/$D$19*D75))</f>
        <v>134127</v>
      </c>
      <c r="H75" s="37">
        <f>+IF($D75&gt;$D$19,Datos!$B$6,IF(Datos!$B$6/$D$19*$D75&lt;Datos!$C$6,Datos!$C$6,Datos!$B$6/$D$19*$D75))</f>
        <v>93905</v>
      </c>
      <c r="I75" s="37">
        <f>+IF($D75&gt;$D$19,Datos!$B$9,IF(Datos!$B$9/$D$19*$D75&lt;Datos!$C$9,Datos!$C$9,Datos!$B$9/$D$19*$D75))</f>
        <v>116361</v>
      </c>
      <c r="L75" s="85">
        <f>+IF(D75&lt;$D$19,Datos!$B$29/$D$19*D75,Datos!$B$29)</f>
        <v>16450</v>
      </c>
      <c r="M75" s="27"/>
    </row>
    <row r="76" spans="1:13" x14ac:dyDescent="0.2">
      <c r="A76" s="11" t="s">
        <v>102</v>
      </c>
      <c r="B76" s="24">
        <v>1534</v>
      </c>
      <c r="C76" s="8"/>
      <c r="D76" s="37">
        <v>1451</v>
      </c>
      <c r="E76" s="82"/>
      <c r="F76" s="37">
        <f>+IF(D76&gt;$D$19,Datos!$B$15,IF(Datos!$B$15/$D$19*D76&lt;Datos!$C$15,Datos!$C$15,Datos!$B$15/$D$19*D76))</f>
        <v>399369</v>
      </c>
      <c r="G76" s="37">
        <f>+IF(D76&gt;$D$19,Datos!$B$3,IF(Datos!$B$3/$D$19*D76&lt;Datos!$C$3,Datos!$C$3,Datos!$B$3/$D$19*D76))</f>
        <v>134127</v>
      </c>
      <c r="H76" s="37">
        <f>+IF($D76&gt;$D$19,Datos!$B$6,IF(Datos!$B$6/$D$19*$D76&lt;Datos!$C$6,Datos!$C$6,Datos!$B$6/$D$19*$D76))</f>
        <v>93905</v>
      </c>
      <c r="I76" s="37">
        <f>+IF($D76&gt;$D$19,Datos!$B$9,IF(Datos!$B$9/$D$19*$D76&lt;Datos!$C$9,Datos!$C$9,Datos!$B$9/$D$19*$D76))</f>
        <v>116361</v>
      </c>
      <c r="L76" s="85">
        <f>+IF(D76&lt;$D$19,Datos!$B$29/$D$19*D76,Datos!$B$29)</f>
        <v>16450</v>
      </c>
      <c r="M76" s="27"/>
    </row>
    <row r="77" spans="1:13" x14ac:dyDescent="0.2">
      <c r="A77" s="11" t="s">
        <v>103</v>
      </c>
      <c r="B77" s="24">
        <v>1556</v>
      </c>
      <c r="C77" s="8">
        <v>15</v>
      </c>
      <c r="D77" s="37">
        <v>1135</v>
      </c>
      <c r="E77" s="82"/>
      <c r="F77" s="37">
        <f>+IF(D77&gt;$D$19,Datos!$B$15,IF(Datos!$B$15/$D$19*D77&lt;Datos!$C$15,Datos!$C$15,Datos!$B$15/$D$19*D77))</f>
        <v>399369</v>
      </c>
      <c r="G77" s="37">
        <f>+IF(D77&gt;$D$19,Datos!$B$3,IF(Datos!$B$3/$D$19*D77&lt;Datos!$C$3,Datos!$C$3,Datos!$B$3/$D$19*D77))</f>
        <v>134127</v>
      </c>
      <c r="H77" s="37">
        <f>+IF($D77&gt;$D$19,Datos!$B$6,IF(Datos!$B$6/$D$19*$D77&lt;Datos!$C$6,Datos!$C$6,Datos!$B$6/$D$19*$D77))</f>
        <v>93905</v>
      </c>
      <c r="I77" s="37">
        <f>+IF($D77&gt;$D$19,Datos!$B$9,IF(Datos!$B$9/$D$19*$D77&lt;Datos!$C$9,Datos!$C$9,Datos!$B$9/$D$19*$D77))</f>
        <v>116361</v>
      </c>
      <c r="L77" s="85">
        <f>+IF(D77&lt;$D$19,Datos!$B$29/$D$19*D77,Datos!$B$29)</f>
        <v>16450</v>
      </c>
      <c r="M77" s="27"/>
    </row>
    <row r="78" spans="1:13" x14ac:dyDescent="0.2">
      <c r="A78" s="34" t="s">
        <v>104</v>
      </c>
      <c r="B78" s="24">
        <v>1557</v>
      </c>
      <c r="C78" s="8"/>
      <c r="D78" s="37">
        <v>823</v>
      </c>
      <c r="E78" s="82"/>
      <c r="F78" s="37">
        <f>+IF(D78&gt;$D$19,Datos!$B$15,IF(Datos!$B$15/$D$19*D78&lt;Datos!$C$15,Datos!$C$15,Datos!$B$15/$D$19*D78))</f>
        <v>289586.51</v>
      </c>
      <c r="G78" s="37">
        <f>+IF(D78&gt;$D$19,Datos!$B$3,IF(Datos!$B$3/$D$19*D78&lt;Datos!$C$3,Datos!$C$3,Datos!$B$3/$D$19*D78))</f>
        <v>127233</v>
      </c>
      <c r="H78" s="37">
        <f>+IF($D78&gt;$D$19,Datos!$B$6,IF(Datos!$B$6/$D$19*$D78&lt;Datos!$C$6,Datos!$C$6,Datos!$B$6/$D$19*$D78))</f>
        <v>90108</v>
      </c>
      <c r="I78" s="37">
        <f>+IF($D78&gt;$D$19,Datos!$B$9,IF(Datos!$B$9/$D$19*$D78&lt;Datos!$C$9,Datos!$C$9,Datos!$B$9/$D$19*$D78))</f>
        <v>111664</v>
      </c>
      <c r="L78" s="85">
        <f>+IF(D78&lt;$D$19,Datos!$B$29/$D$19*D78,Datos!$B$29)</f>
        <v>11928.06</v>
      </c>
      <c r="M78" s="27"/>
    </row>
    <row r="79" spans="1:13" x14ac:dyDescent="0.2">
      <c r="A79" s="11" t="s">
        <v>105</v>
      </c>
      <c r="B79" s="24">
        <v>1559</v>
      </c>
      <c r="C79" s="8"/>
      <c r="D79" s="37">
        <v>1135</v>
      </c>
      <c r="E79" s="82"/>
      <c r="F79" s="37">
        <f>+IF(D79&gt;$D$19,Datos!$B$15,IF(Datos!$B$15/$D$19*D79&lt;Datos!$C$15,Datos!$C$15,Datos!$B$15/$D$19*D79))</f>
        <v>399369</v>
      </c>
      <c r="G79" s="37">
        <f>+IF(D79&gt;$D$19,Datos!$B$3,IF(Datos!$B$3/$D$19*D79&lt;Datos!$C$3,Datos!$C$3,Datos!$B$3/$D$19*D79))</f>
        <v>134127</v>
      </c>
      <c r="H79" s="37">
        <f>+IF($D79&gt;$D$19,Datos!$B$6,IF(Datos!$B$6/$D$19*$D79&lt;Datos!$C$6,Datos!$C$6,Datos!$B$6/$D$19*$D79))</f>
        <v>93905</v>
      </c>
      <c r="I79" s="37">
        <f>+IF($D79&gt;$D$19,Datos!$B$9,IF(Datos!$B$9/$D$19*$D79&lt;Datos!$C$9,Datos!$C$9,Datos!$B$9/$D$19*$D79))</f>
        <v>116361</v>
      </c>
      <c r="L79" s="85">
        <f>+IF(D79&lt;$D$19,Datos!$B$29/$D$19*D79,Datos!$B$29)</f>
        <v>16450</v>
      </c>
      <c r="M79" s="27"/>
    </row>
    <row r="80" spans="1:13" x14ac:dyDescent="0.2">
      <c r="A80" s="11" t="s">
        <v>106</v>
      </c>
      <c r="B80" s="24">
        <v>1566</v>
      </c>
      <c r="C80" s="8"/>
      <c r="D80" s="37">
        <v>1008</v>
      </c>
      <c r="E80" s="82"/>
      <c r="F80" s="37">
        <f>+IF(D80&gt;$D$19,Datos!$B$15,IF(Datos!$B$15/$D$19*D80&lt;Datos!$C$15,Datos!$C$15,Datos!$B$15/$D$19*D80))</f>
        <v>354681.9</v>
      </c>
      <c r="G80" s="37">
        <f>+IF(D80&gt;$D$19,Datos!$B$3,IF(Datos!$B$3/$D$19*D80&lt;Datos!$C$3,Datos!$C$3,Datos!$B$3/$D$19*D80))</f>
        <v>127233</v>
      </c>
      <c r="H80" s="37">
        <f>+IF($D80&gt;$D$19,Datos!$B$6,IF(Datos!$B$6/$D$19*$D80&lt;Datos!$C$6,Datos!$C$6,Datos!$B$6/$D$19*$D80))</f>
        <v>90108</v>
      </c>
      <c r="I80" s="37">
        <f>+IF($D80&gt;$D$19,Datos!$B$9,IF(Datos!$B$9/$D$19*$D80&lt;Datos!$C$9,Datos!$C$9,Datos!$B$9/$D$19*$D80))</f>
        <v>111664</v>
      </c>
      <c r="L80" s="85">
        <f>+IF(D80&lt;$D$19,Datos!$B$29/$D$19*D80,Datos!$B$29)</f>
        <v>14609.34</v>
      </c>
      <c r="M80" s="27"/>
    </row>
    <row r="81" spans="1:13" x14ac:dyDescent="0.2">
      <c r="A81" s="11" t="s">
        <v>107</v>
      </c>
      <c r="B81" s="24">
        <v>1567</v>
      </c>
      <c r="C81" s="8">
        <v>23</v>
      </c>
      <c r="D81" s="37">
        <v>825</v>
      </c>
      <c r="E81" s="82"/>
      <c r="F81" s="37">
        <f>+IF(D81&gt;$D$19,Datos!$B$15,IF(Datos!$B$15/$D$19*D81&lt;Datos!$C$15,Datos!$C$15,Datos!$B$15/$D$19*D81))</f>
        <v>290290.24</v>
      </c>
      <c r="G81" s="37">
        <f>+IF(D81&gt;$D$19,Datos!$B$3,IF(Datos!$B$3/$D$19*D81&lt;Datos!$C$3,Datos!$C$3,Datos!$B$3/$D$19*D81))</f>
        <v>127233</v>
      </c>
      <c r="H81" s="37">
        <f>+IF($D81&gt;$D$19,Datos!$B$6,IF(Datos!$B$6/$D$19*$D81&lt;Datos!$C$6,Datos!$C$6,Datos!$B$6/$D$19*$D81))</f>
        <v>90108</v>
      </c>
      <c r="I81" s="37">
        <f>+IF($D81&gt;$D$19,Datos!$B$9,IF(Datos!$B$9/$D$19*$D81&lt;Datos!$C$9,Datos!$C$9,Datos!$B$9/$D$19*$D81))</f>
        <v>111664</v>
      </c>
      <c r="L81" s="85">
        <f>+IF(D81&lt;$D$19,Datos!$B$29/$D$19*D81,Datos!$B$29)</f>
        <v>11957.05</v>
      </c>
      <c r="M81" s="27"/>
    </row>
    <row r="82" spans="1:13" x14ac:dyDescent="0.2">
      <c r="A82" s="11" t="s">
        <v>210</v>
      </c>
      <c r="B82" s="24">
        <v>1569</v>
      </c>
      <c r="C82" s="8">
        <v>31</v>
      </c>
      <c r="D82" s="37">
        <v>825</v>
      </c>
      <c r="E82" s="82"/>
      <c r="F82" s="37">
        <f>+IF(D82&gt;$D$19,Datos!$B$15,IF(Datos!$B$15/$D$19*D82&lt;Datos!$C$15,Datos!$C$15,Datos!$B$15/$D$19*D82))</f>
        <v>290290.24</v>
      </c>
      <c r="G82" s="37">
        <f>+IF(D82&gt;$D$19,Datos!$B$3,IF(Datos!$B$3/$D$19*D82&lt;Datos!$C$3,Datos!$C$3,Datos!$B$3/$D$19*D82))</f>
        <v>127233</v>
      </c>
      <c r="H82" s="37">
        <f>+IF($D82&gt;$D$19,Datos!$B$6,IF(Datos!$B$6/$D$19*$D82&lt;Datos!$C$6,Datos!$C$6,Datos!$B$6/$D$19*$D82))</f>
        <v>90108</v>
      </c>
      <c r="I82" s="37">
        <f>+IF($D82&gt;$D$19,Datos!$B$9,IF(Datos!$B$9/$D$19*$D82&lt;Datos!$C$9,Datos!$C$9,Datos!$B$9/$D$19*$D82))</f>
        <v>111664</v>
      </c>
      <c r="L82" s="85">
        <f>+IF(D82&lt;$D$19,Datos!$B$29/$D$19*D82,Datos!$B$29)</f>
        <v>11957.05</v>
      </c>
      <c r="M82" s="27"/>
    </row>
    <row r="83" spans="1:13" x14ac:dyDescent="0.2">
      <c r="A83" s="11" t="s">
        <v>165</v>
      </c>
      <c r="B83" s="24">
        <v>572</v>
      </c>
      <c r="C83" s="8">
        <v>25</v>
      </c>
      <c r="D83" s="37">
        <v>810</v>
      </c>
      <c r="E83" s="82"/>
      <c r="F83" s="37">
        <f>+IF(D83&gt;$D$19,Datos!$B$15,IF(Datos!$B$15/$D$19*D83&lt;Datos!$C$15,Datos!$C$15,Datos!$B$15/$D$19*D83))</f>
        <v>285012.24</v>
      </c>
      <c r="G83" s="37">
        <f>+IF(D83&gt;$D$19,Datos!$B$3,IF(Datos!$B$3/$D$19*D83&lt;Datos!$C$3,Datos!$C$3,Datos!$B$3/$D$19*D83))</f>
        <v>127233</v>
      </c>
      <c r="H83" s="37">
        <f>+IF($D83&gt;$D$19,Datos!$B$6,IF(Datos!$B$6/$D$19*$D83&lt;Datos!$C$6,Datos!$C$6,Datos!$B$6/$D$19*$D83))</f>
        <v>90108</v>
      </c>
      <c r="I83" s="37">
        <f>+IF($D83&gt;$D$19,Datos!$B$9,IF(Datos!$B$9/$D$19*$D83&lt;Datos!$C$9,Datos!$C$9,Datos!$B$9/$D$19*$D83))</f>
        <v>111664</v>
      </c>
      <c r="L83" s="85">
        <f>+IF(D83&lt;$D$19,Datos!$B$29/$D$19*D83,Datos!$B$29)</f>
        <v>11739.65</v>
      </c>
      <c r="M83" s="27"/>
    </row>
    <row r="84" spans="1:13" x14ac:dyDescent="0.2">
      <c r="A84" s="11" t="s">
        <v>108</v>
      </c>
      <c r="B84" s="24">
        <v>1568</v>
      </c>
      <c r="C84" s="8"/>
      <c r="D84" s="37">
        <v>1008</v>
      </c>
      <c r="E84" s="82"/>
      <c r="F84" s="37">
        <f>+IF(D84&gt;$D$19,Datos!$B$15,IF(Datos!$B$15/$D$19*D84&lt;Datos!$C$15,Datos!$C$15,Datos!$B$15/$D$19*D84))</f>
        <v>354681.9</v>
      </c>
      <c r="G84" s="37">
        <f>+IF(D84&gt;$D$19,Datos!$B$3,IF(Datos!$B$3/$D$19*D84&lt;Datos!$C$3,Datos!$C$3,Datos!$B$3/$D$19*D84))</f>
        <v>127233</v>
      </c>
      <c r="H84" s="37">
        <f>+IF($D84&gt;$D$19,Datos!$B$6,IF(Datos!$B$6/$D$19*$D84&lt;Datos!$C$6,Datos!$C$6,Datos!$B$6/$D$19*$D84))</f>
        <v>90108</v>
      </c>
      <c r="I84" s="37">
        <f>+IF($D84&gt;$D$19,Datos!$B$9,IF(Datos!$B$9/$D$19*$D84&lt;Datos!$C$9,Datos!$C$9,Datos!$B$9/$D$19*$D84))</f>
        <v>111664</v>
      </c>
      <c r="L84" s="85">
        <f>+IF(D84&lt;$D$19,Datos!$B$29/$D$19*D84,Datos!$B$29)</f>
        <v>14609.34</v>
      </c>
      <c r="M84" s="27"/>
    </row>
    <row r="85" spans="1:13" x14ac:dyDescent="0.2">
      <c r="A85" s="11" t="s">
        <v>109</v>
      </c>
      <c r="B85" s="24">
        <v>1582</v>
      </c>
      <c r="C85" s="8">
        <v>24</v>
      </c>
      <c r="D85" s="37">
        <v>952</v>
      </c>
      <c r="E85" s="82"/>
      <c r="F85" s="37">
        <f>+IF(D85&gt;$D$19,Datos!$B$15,IF(Datos!$B$15/$D$19*D85&lt;Datos!$C$15,Datos!$C$15,Datos!$B$15/$D$19*D85))</f>
        <v>334977.34999999998</v>
      </c>
      <c r="G85" s="37">
        <f>+IF(D85&gt;$D$19,Datos!$B$3,IF(Datos!$B$3/$D$19*D85&lt;Datos!$C$3,Datos!$C$3,Datos!$B$3/$D$19*D85))</f>
        <v>127233</v>
      </c>
      <c r="H85" s="37">
        <f>+IF($D85&gt;$D$19,Datos!$B$6,IF(Datos!$B$6/$D$19*$D85&lt;Datos!$C$6,Datos!$C$6,Datos!$B$6/$D$19*$D85))</f>
        <v>90108</v>
      </c>
      <c r="I85" s="37">
        <f>+IF($D85&gt;$D$19,Datos!$B$9,IF(Datos!$B$9/$D$19*$D85&lt;Datos!$C$9,Datos!$C$9,Datos!$B$9/$D$19*$D85))</f>
        <v>111664</v>
      </c>
      <c r="L85" s="85">
        <f>+IF(D85&lt;$D$19,Datos!$B$29/$D$19*D85,Datos!$B$29)</f>
        <v>13797.71</v>
      </c>
      <c r="M85" s="27"/>
    </row>
    <row r="86" spans="1:13" x14ac:dyDescent="0.2">
      <c r="A86" s="11" t="s">
        <v>110</v>
      </c>
      <c r="B86" s="24">
        <v>1599</v>
      </c>
      <c r="C86" s="8">
        <v>30</v>
      </c>
      <c r="D86" s="37">
        <v>56</v>
      </c>
      <c r="E86" s="82"/>
      <c r="F86" s="37">
        <f>Datos!$B$15/20</f>
        <v>19968.45</v>
      </c>
      <c r="G86" s="37">
        <f>Datos!$B$5</f>
        <v>7059.32</v>
      </c>
      <c r="H86" s="37">
        <f>Datos!$B$8</f>
        <v>4942.37</v>
      </c>
      <c r="I86" s="37">
        <f>Datos!$B$11</f>
        <v>6124.26</v>
      </c>
      <c r="L86" s="85">
        <f>Datos!$B$31</f>
        <v>865.79</v>
      </c>
      <c r="M86" s="27"/>
    </row>
    <row r="87" spans="1:13" x14ac:dyDescent="0.2">
      <c r="A87" s="9" t="s">
        <v>121</v>
      </c>
      <c r="C87" s="8"/>
      <c r="D87" s="37"/>
      <c r="E87" s="82"/>
      <c r="F87" s="37"/>
      <c r="G87" s="37"/>
      <c r="H87" s="37"/>
      <c r="I87" s="37"/>
      <c r="L87" s="85">
        <f>+IF(D87&gt;$D$19,Datos!$D$33,Datos!$D$33/$D$19*D87)</f>
        <v>0</v>
      </c>
      <c r="M87" s="27"/>
    </row>
    <row r="88" spans="1:13" x14ac:dyDescent="0.2">
      <c r="A88" s="11" t="s">
        <v>120</v>
      </c>
      <c r="B88" s="24">
        <v>5014</v>
      </c>
      <c r="C88" s="8">
        <v>1</v>
      </c>
      <c r="D88" s="37">
        <v>2415</v>
      </c>
      <c r="E88" s="82"/>
      <c r="F88" s="37">
        <f>+IF(D88&gt;$D$19,Datos!$B$15,IF(Datos!$B$15/$D$19*D88&lt;Datos!$C$15,Datos!$C$15,Datos!$B$15/$D$19*D88))</f>
        <v>399369</v>
      </c>
      <c r="G88" s="37">
        <f>+IF(D88&gt;$D$19,Datos!$B$3,IF(Datos!$B$3/$D$19*D88&lt;Datos!$C$3,Datos!$C$3,Datos!$B$3/$D$19*D88))</f>
        <v>134127</v>
      </c>
      <c r="H88" s="37">
        <f>+IF($D88&gt;$D$19,Datos!$B$6,IF(Datos!$B$6/$D$19*$D88&lt;Datos!$C$6,Datos!$C$6,Datos!$B$6/$D$19*$D88))</f>
        <v>93905</v>
      </c>
      <c r="I88" s="37">
        <f>+IF($D88&gt;$D$19,Datos!$B$9,IF(Datos!$B$9/$D$19*$D88&lt;Datos!$C$9,Datos!$C$9,Datos!$B$9/$D$19*$D88))</f>
        <v>116361</v>
      </c>
      <c r="J88" s="30">
        <v>1</v>
      </c>
      <c r="L88" s="85">
        <f>+IF(D88&lt;$D$19,Datos!$B$29/$D$19*D88,Datos!$B$29)</f>
        <v>16450</v>
      </c>
      <c r="M88" s="27"/>
    </row>
    <row r="89" spans="1:13" x14ac:dyDescent="0.2">
      <c r="A89" s="11" t="s">
        <v>122</v>
      </c>
      <c r="B89" s="24">
        <v>5013</v>
      </c>
      <c r="C89" s="8">
        <v>5</v>
      </c>
      <c r="D89" s="37">
        <v>2421</v>
      </c>
      <c r="E89" s="82"/>
      <c r="F89" s="37">
        <f>+IF(D89&gt;$D$19,Datos!$B$15,IF(Datos!$B$15/$D$19*D89&lt;Datos!$C$15,Datos!$C$15,Datos!$B$15/$D$19*D89))</f>
        <v>399369</v>
      </c>
      <c r="G89" s="37">
        <f>+IF(D89&gt;$D$19,Datos!$B$3,IF(Datos!$B$3/$D$19*D89&lt;Datos!$C$3,Datos!$C$3,Datos!$B$3/$D$19*D89))</f>
        <v>134127</v>
      </c>
      <c r="H89" s="37">
        <f>+IF($D89&gt;$D$19,Datos!$B$6,IF(Datos!$B$6/$D$19*$D89&lt;Datos!$C$6,Datos!$C$6,Datos!$B$6/$D$19*$D89))</f>
        <v>93905</v>
      </c>
      <c r="I89" s="37">
        <f>+IF($D89&gt;$D$19,Datos!$B$9,IF(Datos!$B$9/$D$19*$D89&lt;Datos!$C$9,Datos!$C$9,Datos!$B$9/$D$19*$D89))</f>
        <v>116361</v>
      </c>
      <c r="J89" s="30">
        <v>1</v>
      </c>
      <c r="L89" s="85">
        <f>+IF(D89&lt;$D$19,Datos!$B$29/$D$19*D89,Datos!$B$29)</f>
        <v>16450</v>
      </c>
      <c r="M89" s="27"/>
    </row>
    <row r="90" spans="1:13" x14ac:dyDescent="0.2">
      <c r="A90" s="11" t="s">
        <v>123</v>
      </c>
      <c r="B90" s="24">
        <v>5033</v>
      </c>
      <c r="C90" s="8">
        <v>10</v>
      </c>
      <c r="D90" s="37">
        <v>1222</v>
      </c>
      <c r="E90" s="82"/>
      <c r="F90" s="37">
        <f>+IF(D90&gt;$D$19,Datos!$B$15,IF(Datos!$B$15/$D$19*D90&lt;Datos!$C$15,Datos!$C$15,Datos!$B$15/$D$19*D90))</f>
        <v>399369</v>
      </c>
      <c r="G90" s="37">
        <f>+IF(D90&gt;$D$19,Datos!$B$3,IF(Datos!$B$3/$D$19*D90&lt;Datos!$C$3,Datos!$C$3,Datos!$B$3/$D$19*D90))</f>
        <v>134127</v>
      </c>
      <c r="H90" s="37">
        <f>+IF($D90&gt;$D$19,Datos!$B$6,IF(Datos!$B$6/$D$19*$D90&lt;Datos!$C$6,Datos!$C$6,Datos!$B$6/$D$19*$D90))</f>
        <v>93905</v>
      </c>
      <c r="I90" s="37">
        <f>+IF($D90&gt;$D$19,Datos!$B$9,IF(Datos!$B$9/$D$19*$D90&lt;Datos!$C$9,Datos!$C$9,Datos!$B$9/$D$19*$D90))</f>
        <v>116361</v>
      </c>
      <c r="L90" s="85">
        <f>+IF(D90&lt;$D$19,Datos!$B$29/$D$19*D90,Datos!$B$29)</f>
        <v>16450</v>
      </c>
      <c r="M90" s="27"/>
    </row>
    <row r="91" spans="1:13" x14ac:dyDescent="0.2">
      <c r="A91" s="34" t="s">
        <v>124</v>
      </c>
      <c r="B91" s="24">
        <v>5029</v>
      </c>
      <c r="C91" s="8"/>
      <c r="D91" s="37">
        <v>1135</v>
      </c>
      <c r="E91" s="82"/>
      <c r="F91" s="37">
        <f>+IF(D91&gt;$D$19,Datos!$B$15,IF(Datos!$B$15/$D$19*D91&lt;Datos!$C$15,Datos!$C$15,Datos!$B$15/$D$19*D91))</f>
        <v>399369</v>
      </c>
      <c r="G91" s="37">
        <f>+IF(D91&gt;$D$19,Datos!$B$3,IF(Datos!$B$3/$D$19*D91&lt;Datos!$C$3,Datos!$C$3,Datos!$B$3/$D$19*D91))</f>
        <v>134127</v>
      </c>
      <c r="H91" s="37">
        <f>+IF($D91&gt;$D$19,Datos!$B$6,IF(Datos!$B$6/$D$19*$D91&lt;Datos!$C$6,Datos!$C$6,Datos!$B$6/$D$19*$D91))</f>
        <v>93905</v>
      </c>
      <c r="I91" s="37">
        <f>+IF($D91&gt;$D$19,Datos!$B$9,IF(Datos!$B$9/$D$19*$D91&lt;Datos!$C$9,Datos!$C$9,Datos!$B$9/$D$19*$D91))</f>
        <v>116361</v>
      </c>
      <c r="L91" s="85">
        <f>+IF(D91&lt;$D$19,Datos!$B$29/$D$19*D91,Datos!$B$29)</f>
        <v>16450</v>
      </c>
      <c r="M91" s="27"/>
    </row>
    <row r="92" spans="1:13" x14ac:dyDescent="0.2">
      <c r="A92" s="11" t="s">
        <v>125</v>
      </c>
      <c r="B92" s="24">
        <v>5028</v>
      </c>
      <c r="C92" s="8">
        <v>15</v>
      </c>
      <c r="D92" s="37">
        <v>1222</v>
      </c>
      <c r="E92" s="82"/>
      <c r="F92" s="37">
        <f>+IF(D92&gt;$D$19,Datos!$B$15,IF(Datos!$B$15/$D$19*D92&lt;Datos!$C$15,Datos!$C$15,Datos!$B$15/$D$19*D92))</f>
        <v>399369</v>
      </c>
      <c r="G92" s="37">
        <f>+IF(D92&gt;$D$19,Datos!$B$3,IF(Datos!$B$3/$D$19*D92&lt;Datos!$C$3,Datos!$C$3,Datos!$B$3/$D$19*D92))</f>
        <v>134127</v>
      </c>
      <c r="H92" s="37">
        <f>+IF($D92&gt;$D$19,Datos!$B$6,IF(Datos!$B$6/$D$19*$D92&lt;Datos!$C$6,Datos!$C$6,Datos!$B$6/$D$19*$D92))</f>
        <v>93905</v>
      </c>
      <c r="I92" s="37">
        <f>+IF($D92&gt;$D$19,Datos!$B$9,IF(Datos!$B$9/$D$19*$D92&lt;Datos!$C$9,Datos!$C$9,Datos!$B$9/$D$19*$D92))</f>
        <v>116361</v>
      </c>
      <c r="L92" s="85">
        <f>+IF(D92&lt;$D$19,Datos!$B$29/$D$19*D92,Datos!$B$29)</f>
        <v>16450</v>
      </c>
      <c r="M92" s="27"/>
    </row>
    <row r="93" spans="1:13" x14ac:dyDescent="0.2">
      <c r="A93" s="11" t="s">
        <v>126</v>
      </c>
      <c r="B93" s="24">
        <v>5035</v>
      </c>
      <c r="C93" s="8"/>
      <c r="D93" s="37">
        <v>1032</v>
      </c>
      <c r="E93" s="82"/>
      <c r="F93" s="37">
        <f>+IF(D93&gt;$D$19,Datos!$B$15,IF(Datos!$B$15/$D$19*D93&lt;Datos!$C$15,Datos!$C$15,Datos!$B$15/$D$19*D93))</f>
        <v>363126.7</v>
      </c>
      <c r="G93" s="37">
        <f>+IF(D93&gt;$D$19,Datos!$B$3,IF(Datos!$B$3/$D$19*D93&lt;Datos!$C$3,Datos!$C$3,Datos!$B$3/$D$19*D93))</f>
        <v>127233</v>
      </c>
      <c r="H93" s="37">
        <f>+IF($D93&gt;$D$19,Datos!$B$6,IF(Datos!$B$6/$D$19*$D93&lt;Datos!$C$6,Datos!$C$6,Datos!$B$6/$D$19*$D93))</f>
        <v>90108</v>
      </c>
      <c r="I93" s="37">
        <f>+IF($D93&gt;$D$19,Datos!$B$9,IF(Datos!$B$9/$D$19*$D93&lt;Datos!$C$9,Datos!$C$9,Datos!$B$9/$D$19*$D93))</f>
        <v>111664</v>
      </c>
      <c r="L93" s="85">
        <f>+IF(D93&lt;$D$19,Datos!$B$29/$D$19*D93,Datos!$B$29)</f>
        <v>14957.18</v>
      </c>
      <c r="M93" s="27"/>
    </row>
    <row r="94" spans="1:13" x14ac:dyDescent="0.2">
      <c r="A94" s="11" t="s">
        <v>127</v>
      </c>
      <c r="B94" s="24">
        <v>5051</v>
      </c>
      <c r="C94" s="8"/>
      <c r="D94" s="37">
        <v>929</v>
      </c>
      <c r="E94" s="82"/>
      <c r="F94" s="37">
        <f>+IF(D94&gt;$D$19,Datos!$B$15,IF(Datos!$B$15/$D$19*D94&lt;Datos!$C$15,Datos!$C$15,Datos!$B$15/$D$19*D94))</f>
        <v>326884.40999999997</v>
      </c>
      <c r="G94" s="37">
        <f>+IF(D94&gt;$D$19,Datos!$B$3,IF(Datos!$B$3/$D$19*D94&lt;Datos!$C$3,Datos!$C$3,Datos!$B$3/$D$19*D94))</f>
        <v>127233</v>
      </c>
      <c r="H94" s="37">
        <f>+IF($D94&gt;$D$19,Datos!$B$6,IF(Datos!$B$6/$D$19*$D94&lt;Datos!$C$6,Datos!$C$6,Datos!$B$6/$D$19*$D94))</f>
        <v>90108</v>
      </c>
      <c r="I94" s="37">
        <f>+IF($D94&gt;$D$19,Datos!$B$9,IF(Datos!$B$9/$D$19*$D94&lt;Datos!$C$9,Datos!$C$9,Datos!$B$9/$D$19*$D94))</f>
        <v>111664</v>
      </c>
      <c r="L94" s="85">
        <f>+IF(D94&lt;$D$19,Datos!$B$29/$D$19*D94,Datos!$B$29)</f>
        <v>13464.36</v>
      </c>
      <c r="M94" s="27"/>
    </row>
    <row r="95" spans="1:13" x14ac:dyDescent="0.2">
      <c r="A95" s="9" t="s">
        <v>128</v>
      </c>
      <c r="C95" s="8"/>
      <c r="D95" s="37"/>
      <c r="E95" s="82"/>
      <c r="F95" s="37"/>
      <c r="G95" s="37"/>
      <c r="H95" s="37"/>
      <c r="I95" s="37"/>
      <c r="L95" s="85">
        <f>+IF(D95&gt;$D$19,Datos!$D$33,Datos!$D$33/$D$19*D95)</f>
        <v>0</v>
      </c>
    </row>
    <row r="96" spans="1:13" x14ac:dyDescent="0.2">
      <c r="A96" s="11" t="s">
        <v>129</v>
      </c>
      <c r="B96" s="24">
        <v>5080</v>
      </c>
      <c r="C96" s="8"/>
      <c r="D96" s="37">
        <v>3128</v>
      </c>
      <c r="E96" s="82"/>
      <c r="F96" s="37">
        <f>+IF(D96&gt;$D$19,Datos!$B$15,IF(Datos!$B$15/$D$19*D96&lt;Datos!$C$15,Datos!$C$15,Datos!$B$15/$D$19*D96))</f>
        <v>399369</v>
      </c>
      <c r="G96" s="37">
        <f>+IF(D96&gt;$D$34,Datos!$B$4,IF(Datos!$B$4/$D$34*D96&lt;Datos!$C$4,Datos!$C$4,Datos!$B$4/$D$34*D96))</f>
        <v>268254</v>
      </c>
      <c r="H96" s="37">
        <f>+IF($D96&gt;$D$34,Datos!$B$7,IF(Datos!$B$7/$D$34*$D96&lt;Datos!$C$7,Datos!$C$7,Datos!$B$7/$D$34*$D96))</f>
        <v>187810</v>
      </c>
      <c r="I96" s="37">
        <f>+IF($D96&gt;$D$34,Datos!$B$10,IF(Datos!$B$10/$D$34*$D96&lt;Datos!$C$10,Datos!$C$10,Datos!$B$10/$D$34*$D96))</f>
        <v>232722</v>
      </c>
      <c r="J96" s="30">
        <v>1</v>
      </c>
      <c r="K96" s="30">
        <v>1</v>
      </c>
      <c r="L96" s="85">
        <f>+IF(D96&lt;$D$34,Datos!$B$30/$D$34*D96,Datos!$B$30)</f>
        <v>32900</v>
      </c>
      <c r="M96" s="27"/>
    </row>
    <row r="97" spans="1:13" x14ac:dyDescent="0.2">
      <c r="A97" s="11" t="s">
        <v>130</v>
      </c>
      <c r="B97" s="24">
        <v>5081</v>
      </c>
      <c r="C97" s="8"/>
      <c r="D97" s="37">
        <v>2669</v>
      </c>
      <c r="E97" s="82"/>
      <c r="F97" s="37">
        <f>+IF(D97&gt;$D$19,Datos!$B$15,IF(Datos!$B$15/$D$19*D97&lt;Datos!$C$15,Datos!$C$15,Datos!$B$15/$D$19*D97))</f>
        <v>399369</v>
      </c>
      <c r="G97" s="37">
        <f>+IF(D97&gt;$D$34,Datos!$B$4,IF(Datos!$B$4/$D$34*D97&lt;Datos!$C$4,Datos!$C$4,Datos!$B$4/$D$34*D97))</f>
        <v>268254</v>
      </c>
      <c r="H97" s="37">
        <f>+IF($D97&gt;$D$34,Datos!$B$7,IF(Datos!$B$7/$D$34*$D97&lt;Datos!$C$7,Datos!$C$7,Datos!$B$7/$D$34*$D97))</f>
        <v>187810</v>
      </c>
      <c r="I97" s="37">
        <f>+IF($D97&gt;$D$34,Datos!$B$10,IF(Datos!$B$10/$D$34*$D97&lt;Datos!$C$10,Datos!$C$10,Datos!$B$10/$D$34*$D97))</f>
        <v>232722</v>
      </c>
      <c r="J97" s="30">
        <v>1</v>
      </c>
      <c r="L97" s="85">
        <f>+IF(D97&lt;$D$34,Datos!$B$30/$D$34*D97,Datos!$B$30)</f>
        <v>32900</v>
      </c>
      <c r="M97" s="27"/>
    </row>
    <row r="98" spans="1:13" x14ac:dyDescent="0.2">
      <c r="A98" s="34" t="s">
        <v>131</v>
      </c>
      <c r="B98" s="24">
        <v>1503</v>
      </c>
      <c r="C98" s="8"/>
      <c r="D98" s="37">
        <v>1942</v>
      </c>
      <c r="E98" s="82"/>
      <c r="F98" s="37">
        <f>+IF(D98&gt;$D$19,Datos!$B$15,IF(Datos!$B$15/$D$19*D98&lt;Datos!$C$15,Datos!$C$15,Datos!$B$15/$D$19*D98))</f>
        <v>399369</v>
      </c>
      <c r="G98" s="37">
        <f>+IF(D98&gt;$D$34,Datos!$B$4,IF(Datos!$B$4/$D$34*D98&lt;Datos!$C$4,Datos!$C$4,Datos!$B$4/$D$34*D98))</f>
        <v>254466</v>
      </c>
      <c r="H98" s="37">
        <f>+IF($D98&gt;$D$34,Datos!$B$7,IF(Datos!$B$7/$D$34*$D98&lt;Datos!$C$7,Datos!$C$7,Datos!$B$7/$D$34*$D98))</f>
        <v>180216</v>
      </c>
      <c r="I98" s="37">
        <f>+IF($D98&gt;$D$34,Datos!$B$10,IF(Datos!$B$10/$D$34*$D98&lt;Datos!$C$10,Datos!$C$10,Datos!$B$10/$D$34*$D98))</f>
        <v>223328</v>
      </c>
      <c r="L98" s="85">
        <f>+IF(D98&lt;$D$34,Datos!$B$30/$D$34*D98,Datos!$B$30)</f>
        <v>30865.599999999999</v>
      </c>
      <c r="M98" s="27"/>
    </row>
    <row r="99" spans="1:13" x14ac:dyDescent="0.2">
      <c r="A99" s="34" t="s">
        <v>162</v>
      </c>
      <c r="B99" s="24">
        <v>5089</v>
      </c>
      <c r="C99" s="8"/>
      <c r="D99" s="37">
        <v>1008</v>
      </c>
      <c r="E99" s="82"/>
      <c r="F99" s="37">
        <f>+IF(D99&gt;$D$19,Datos!$B$15,IF(Datos!$B$15/$D$19*D99&lt;Datos!$C$15,Datos!$C$15,Datos!$B$15/$D$19*D99))</f>
        <v>354681.9</v>
      </c>
      <c r="G99" s="37">
        <f>+IF(D99&gt;$D$19,Datos!$B$3,IF(Datos!$B$3/$D$19*D99&lt;Datos!$C$3,Datos!$C$3,Datos!$B$3/$D$19*D99))</f>
        <v>127233</v>
      </c>
      <c r="H99" s="37">
        <f>+IF($D99&gt;$D$19,Datos!$B$6,IF(Datos!$B$6/$D$19*$D99&lt;Datos!$C$6,Datos!$C$6,Datos!$B$6/$D$19*$D99))</f>
        <v>90108</v>
      </c>
      <c r="I99" s="37">
        <f>+IF($D99&gt;$D$19,Datos!$B$9,IF(Datos!$B$9/$D$19*$D99&lt;Datos!$C$9,Datos!$C$9,Datos!$B$9/$D$19*$D99))</f>
        <v>111664</v>
      </c>
      <c r="L99" s="85">
        <f>+IF(D99&lt;$D$19,Datos!$B$29/$D$19*D99,Datos!$B$29)</f>
        <v>14609.34</v>
      </c>
      <c r="M99" s="27"/>
    </row>
    <row r="100" spans="1:13" x14ac:dyDescent="0.2">
      <c r="A100" s="34" t="s">
        <v>132</v>
      </c>
      <c r="B100" s="24">
        <v>5088</v>
      </c>
      <c r="C100" s="8"/>
      <c r="D100" s="37">
        <v>823</v>
      </c>
      <c r="E100" s="82"/>
      <c r="F100" s="37">
        <f>+IF(D100&gt;$D$19,Datos!$B$15,IF(Datos!$B$15/$D$19*D100&lt;Datos!$C$15,Datos!$C$15,Datos!$B$15/$D$19*D100))</f>
        <v>289586.51</v>
      </c>
      <c r="G100" s="37">
        <f>+IF(D100&gt;$D$19,Datos!$B$3,IF(Datos!$B$3/$D$19*D100&lt;Datos!$C$3,Datos!$C$3,Datos!$B$3/$D$19*D100))</f>
        <v>127233</v>
      </c>
      <c r="H100" s="37">
        <f>+IF($D100&gt;$D$19,Datos!$B$6,IF(Datos!$B$6/$D$19*$D100&lt;Datos!$C$6,Datos!$C$6,Datos!$B$6/$D$19*$D100))</f>
        <v>90108</v>
      </c>
      <c r="I100" s="37">
        <f>+IF($D100&gt;$D$19,Datos!$B$9,IF(Datos!$B$9/$D$19*$D100&lt;Datos!$C$9,Datos!$C$9,Datos!$B$9/$D$19*$D100))</f>
        <v>111664</v>
      </c>
      <c r="L100" s="85">
        <f>+IF(D100&lt;$D$19,Datos!$B$29/$D$19*D100,Datos!$B$29)</f>
        <v>11928.06</v>
      </c>
      <c r="M100" s="27"/>
    </row>
    <row r="101" spans="1:13" x14ac:dyDescent="0.2">
      <c r="A101" s="11" t="s">
        <v>133</v>
      </c>
      <c r="B101" s="24">
        <v>1504</v>
      </c>
      <c r="C101" s="1"/>
      <c r="D101" s="37">
        <v>2016</v>
      </c>
      <c r="E101" s="82"/>
      <c r="F101" s="37">
        <f>+IF(D101&gt;$D$19,Datos!$B$15,IF(Datos!$B$15/$D$19*D101&lt;Datos!$C$15,Datos!$C$15,Datos!$B$15/$D$19*D101))</f>
        <v>399369</v>
      </c>
      <c r="G101" s="37">
        <f>+IF(D101&gt;$D$34,Datos!$B$4,IF(Datos!$B$4/$D$34*D101&lt;Datos!$C$4,Datos!$C$4,Datos!$B$4/$D$34*D101))</f>
        <v>261256.07</v>
      </c>
      <c r="H101" s="37">
        <f>+IF($D101&gt;$D$34,Datos!$B$7,IF(Datos!$B$7/$D$34*$D101&lt;Datos!$C$7,Datos!$C$7,Datos!$B$7/$D$34*$D101))</f>
        <v>182910.61</v>
      </c>
      <c r="I101" s="37">
        <f>+IF($D101&gt;$D$34,Datos!$B$10,IF(Datos!$B$10/$D$34*$D101&lt;Datos!$C$10,Datos!$C$10,Datos!$B$10/$D$34*$D101))</f>
        <v>226650.99</v>
      </c>
      <c r="L101" s="85">
        <f>+IF(D101&lt;$D$19,Datos!$B$29/$D$19*D101,Datos!$B$29)</f>
        <v>16450</v>
      </c>
      <c r="M101" s="27"/>
    </row>
    <row r="102" spans="1:13" x14ac:dyDescent="0.2">
      <c r="A102" s="11" t="s">
        <v>134</v>
      </c>
      <c r="B102" s="24">
        <v>1507</v>
      </c>
      <c r="C102" s="1"/>
      <c r="D102" s="37">
        <v>1680</v>
      </c>
      <c r="E102" s="82"/>
      <c r="F102" s="38">
        <f>+IF(D102&gt;$D$19,Datos!$B$15,IF(Datos!$B$15/$D$19*D102&lt;Datos!$C$15,Datos!$C$15,Datos!$B$15/$D$19*D102))</f>
        <v>399369</v>
      </c>
      <c r="G102" s="38"/>
      <c r="H102" s="38"/>
      <c r="I102" s="38"/>
      <c r="L102" s="85"/>
    </row>
    <row r="103" spans="1:13" x14ac:dyDescent="0.2">
      <c r="A103" s="11" t="s">
        <v>135</v>
      </c>
      <c r="B103" s="24">
        <v>1528</v>
      </c>
      <c r="C103" s="1"/>
      <c r="D103" s="37">
        <v>1344</v>
      </c>
      <c r="E103" s="82"/>
      <c r="F103" s="38">
        <f>+IF(D103&gt;$D$19,Datos!$B$15,IF(Datos!$B$15/$D$19*D103&lt;Datos!$C$15,Datos!$C$15,Datos!$B$15/$D$19*D103))</f>
        <v>399369</v>
      </c>
      <c r="G103" s="38"/>
      <c r="H103" s="38"/>
      <c r="I103" s="38"/>
      <c r="L103" s="85"/>
    </row>
    <row r="104" spans="1:13" x14ac:dyDescent="0.2">
      <c r="A104" s="11" t="s">
        <v>136</v>
      </c>
      <c r="B104" s="24">
        <v>1549</v>
      </c>
      <c r="C104" s="1"/>
      <c r="D104" s="37">
        <v>1008</v>
      </c>
      <c r="E104" s="82"/>
      <c r="F104" s="38">
        <f>+IF(D104&gt;$D$19,Datos!$B$15,IF(Datos!$B$15/$D$19*D104&lt;Datos!$C$15,Datos!$C$15,Datos!$B$15/$D$19*D104))</f>
        <v>354681.9</v>
      </c>
      <c r="G104" s="38"/>
      <c r="H104" s="38"/>
      <c r="I104" s="38"/>
      <c r="L104" s="85"/>
    </row>
    <row r="105" spans="1:13" x14ac:dyDescent="0.2">
      <c r="A105" s="11" t="s">
        <v>137</v>
      </c>
      <c r="B105" s="24">
        <v>1550</v>
      </c>
      <c r="C105" s="1"/>
      <c r="D105" s="37">
        <v>672</v>
      </c>
      <c r="E105" s="82"/>
      <c r="F105" s="38">
        <f>+IF(D105&gt;$D$19,Datos!$B$15,IF(Datos!$B$15/$D$19*D105&lt;Datos!$C$15,Datos!$C$15,Datos!$B$15/$D$19*D105))</f>
        <v>251565</v>
      </c>
      <c r="G105" s="38"/>
      <c r="H105" s="38"/>
      <c r="I105" s="38"/>
      <c r="L105" s="85"/>
    </row>
    <row r="106" spans="1:13" x14ac:dyDescent="0.2">
      <c r="A106" s="9" t="s">
        <v>138</v>
      </c>
      <c r="C106" s="1"/>
      <c r="D106" s="37"/>
      <c r="E106" s="82"/>
      <c r="F106" s="37"/>
      <c r="G106" s="37"/>
      <c r="H106" s="37"/>
      <c r="I106" s="37"/>
      <c r="L106" s="85">
        <f>+IF(D106&gt;$D$19,Datos!$D$33,Datos!$D$33/$D$19*D106)</f>
        <v>0</v>
      </c>
    </row>
    <row r="107" spans="1:13" x14ac:dyDescent="0.2">
      <c r="A107" s="11" t="s">
        <v>139</v>
      </c>
      <c r="B107" s="24">
        <v>5596</v>
      </c>
      <c r="C107" s="1"/>
      <c r="D107" s="37">
        <v>1509</v>
      </c>
      <c r="E107" s="82"/>
      <c r="F107" s="38">
        <f>+IF(D107&gt;$D$19,Datos!$B$15,IF(Datos!$B$15/$D$19*D107&lt;Datos!$C$15,Datos!$C$15,Datos!$B$15/$D$19*D107))</f>
        <v>399369</v>
      </c>
      <c r="G107" s="38"/>
      <c r="H107" s="38"/>
      <c r="I107" s="38"/>
      <c r="L107" s="85"/>
    </row>
    <row r="108" spans="1:13" x14ac:dyDescent="0.2">
      <c r="A108" s="9" t="s">
        <v>140</v>
      </c>
      <c r="C108" s="1"/>
      <c r="D108" s="37"/>
      <c r="E108" s="82"/>
      <c r="F108" s="37"/>
      <c r="G108" s="37"/>
      <c r="H108" s="37"/>
      <c r="I108" s="37"/>
      <c r="L108" s="85"/>
    </row>
    <row r="109" spans="1:13" x14ac:dyDescent="0.2">
      <c r="A109" s="11" t="s">
        <v>141</v>
      </c>
      <c r="B109" s="24">
        <v>3509</v>
      </c>
      <c r="C109" s="1"/>
      <c r="D109" s="37">
        <v>3422</v>
      </c>
      <c r="E109" s="82"/>
      <c r="F109" s="37">
        <f>+IF(D109&gt;$D$19,Datos!$B$15,IF(Datos!$B$15/$D$19*D109&lt;Datos!$C$15,Datos!$C$15,Datos!$B$15/$D$19*D109))</f>
        <v>399369</v>
      </c>
      <c r="G109" s="37">
        <f>+IF(D109&gt;$D$19,Datos!$B$3,IF(Datos!$B$3/$D$19*D109&lt;Datos!$C$3,Datos!$C$3,Datos!$B$3/$D$19*D109))</f>
        <v>134127</v>
      </c>
      <c r="H109" s="37">
        <f>+IF($D109&gt;$D$19,Datos!$B$6,IF(Datos!$B$6/$D$19*$D109&lt;Datos!$C$6,Datos!$C$6,Datos!$B$6/$D$19*$D109))</f>
        <v>93905</v>
      </c>
      <c r="I109" s="37">
        <f>+IF($D109&gt;$D$19,Datos!$B$9,IF(Datos!$B$9/$D$19*$D109&lt;Datos!$C$9,Datos!$C$9,Datos!$B$9/$D$19*$D109))</f>
        <v>116361</v>
      </c>
      <c r="J109" s="30">
        <v>1</v>
      </c>
      <c r="K109" s="30">
        <v>1</v>
      </c>
      <c r="L109" s="85">
        <f>+IF(D109&lt;$D$19,Datos!$B$29/$D$19*D109,Datos!$B$29)</f>
        <v>16450</v>
      </c>
      <c r="M109" s="27"/>
    </row>
    <row r="110" spans="1:13" x14ac:dyDescent="0.2">
      <c r="A110" s="11" t="s">
        <v>142</v>
      </c>
      <c r="B110" s="24">
        <v>3510</v>
      </c>
      <c r="C110" s="1"/>
      <c r="D110" s="37">
        <v>2874</v>
      </c>
      <c r="E110" s="82"/>
      <c r="F110" s="37">
        <f>+IF(D110&gt;$D$19,Datos!$B$15,IF(Datos!$B$15/$D$19*D110&lt;Datos!$C$15,Datos!$C$15,Datos!$B$15/$D$19*D110))</f>
        <v>399369</v>
      </c>
      <c r="G110" s="37">
        <f>+IF(D110&gt;$D$19,Datos!$B$3,IF(Datos!$B$3/$D$19*D110&lt;Datos!$C$3,Datos!$C$3,Datos!$B$3/$D$19*D110))</f>
        <v>134127</v>
      </c>
      <c r="H110" s="37">
        <f>+IF($D110&gt;$D$19,Datos!$B$6,IF(Datos!$B$6/$D$19*$D110&lt;Datos!$C$6,Datos!$C$6,Datos!$B$6/$D$19*$D110))</f>
        <v>93905</v>
      </c>
      <c r="I110" s="37">
        <f>+IF($D110&gt;$D$19,Datos!$B$9,IF(Datos!$B$9/$D$19*$D110&lt;Datos!$C$9,Datos!$C$9,Datos!$B$9/$D$19*$D110))</f>
        <v>116361</v>
      </c>
      <c r="J110" s="30">
        <v>1</v>
      </c>
      <c r="L110" s="85">
        <f>+IF(D110&lt;$D$19,Datos!$B$29/$D$19*D110,Datos!$B$29)</f>
        <v>16450</v>
      </c>
      <c r="M110" s="27"/>
    </row>
    <row r="111" spans="1:13" x14ac:dyDescent="0.2">
      <c r="A111" s="11" t="s">
        <v>153</v>
      </c>
      <c r="B111" s="24">
        <v>3525</v>
      </c>
      <c r="C111" s="1"/>
      <c r="D111" s="37">
        <f>2204+296</f>
        <v>2500</v>
      </c>
      <c r="E111" s="82"/>
      <c r="F111" s="37">
        <f>+IF(D111&gt;$D$19,Datos!$B$15,IF(Datos!$B$15/$D$19*D111&lt;Datos!$C$15,Datos!$C$15,Datos!$B$15/$D$19*D111))</f>
        <v>399369</v>
      </c>
      <c r="G111" s="37">
        <f>+IF(D111&gt;$D$19,Datos!$B$3,IF(Datos!$B$3/$D$19*D111&lt;Datos!$C$3,Datos!$C$3,Datos!$B$3/$D$19*D111))</f>
        <v>134127</v>
      </c>
      <c r="H111" s="37">
        <f>+IF($D111&gt;$D$19,Datos!$B$6,IF(Datos!$B$6/$D$19*$D111&lt;Datos!$C$6,Datos!$C$6,Datos!$B$6/$D$19*$D111))</f>
        <v>93905</v>
      </c>
      <c r="I111" s="37">
        <f>+IF($D111&gt;$D$19,Datos!$B$9,IF(Datos!$B$9/$D$19*$D111&lt;Datos!$C$9,Datos!$C$9,Datos!$B$9/$D$19*$D111))</f>
        <v>116361</v>
      </c>
      <c r="L111" s="85">
        <f>+IF(D111&lt;$D$19,Datos!$B$29/$D$19*D111,Datos!$B$29)</f>
        <v>16450</v>
      </c>
      <c r="M111" s="27"/>
    </row>
    <row r="112" spans="1:13" x14ac:dyDescent="0.2">
      <c r="A112" s="11" t="s">
        <v>143</v>
      </c>
      <c r="B112" s="24">
        <v>3535</v>
      </c>
      <c r="C112" s="1"/>
      <c r="D112" s="37">
        <v>984</v>
      </c>
      <c r="E112" s="82"/>
      <c r="F112" s="37">
        <f>+IF(D112&gt;$D$19,Datos!$B$15,IF(Datos!$B$15/$D$19*D112&lt;Datos!$C$15,Datos!$C$15,Datos!$B$15/$D$19*D112))</f>
        <v>346237.09</v>
      </c>
      <c r="G112" s="37">
        <f>+IF(D112&gt;$D$19,Datos!$B$3,IF(Datos!$B$3/$D$19*D112&lt;Datos!$C$3,Datos!$C$3,Datos!$B$3/$D$19*D112))</f>
        <v>127233</v>
      </c>
      <c r="H112" s="37">
        <f>+IF($D112&gt;$D$19,Datos!$B$6,IF(Datos!$B$6/$D$19*$D112&lt;Datos!$C$6,Datos!$C$6,Datos!$B$6/$D$19*$D112))</f>
        <v>90108</v>
      </c>
      <c r="I112" s="37">
        <f>+IF($D112&gt;$D$19,Datos!$B$9,IF(Datos!$B$9/$D$19*$D112&lt;Datos!$C$9,Datos!$C$9,Datos!$B$9/$D$19*$D112))</f>
        <v>111664</v>
      </c>
      <c r="L112" s="85">
        <f>+IF(D112&lt;$D$19,Datos!$B$29/$D$19*D112,Datos!$B$29)</f>
        <v>14261.5</v>
      </c>
      <c r="M112" s="27"/>
    </row>
    <row r="113" spans="1:13" x14ac:dyDescent="0.2">
      <c r="A113" s="11" t="s">
        <v>144</v>
      </c>
      <c r="B113" s="24">
        <v>3536</v>
      </c>
      <c r="C113" s="1"/>
      <c r="D113" s="37">
        <v>825</v>
      </c>
      <c r="E113" s="82"/>
      <c r="F113" s="37">
        <f>+IF(D113&gt;$D$19,Datos!$B$15,IF(Datos!$B$15/$D$19*D113&lt;Datos!$C$15,Datos!$C$15,Datos!$B$15/$D$19*D113))</f>
        <v>290290.24</v>
      </c>
      <c r="G113" s="37">
        <f>+IF(D113&gt;$D$19,Datos!$B$3,IF(Datos!$B$3/$D$19*D113&lt;Datos!$C$3,Datos!$C$3,Datos!$B$3/$D$19*D113))</f>
        <v>127233</v>
      </c>
      <c r="H113" s="37">
        <f>+IF($D113&gt;$D$19,Datos!$B$6,IF(Datos!$B$6/$D$19*$D113&lt;Datos!$C$6,Datos!$C$6,Datos!$B$6/$D$19*$D113))</f>
        <v>90108</v>
      </c>
      <c r="I113" s="37">
        <f>+IF($D113&gt;$D$19,Datos!$B$9,IF(Datos!$B$9/$D$19*$D113&lt;Datos!$C$9,Datos!$C$9,Datos!$B$9/$D$19*$D113))</f>
        <v>111664</v>
      </c>
      <c r="L113" s="85">
        <f>+IF(D113&lt;$D$19,Datos!$B$29/$D$19*D113,Datos!$B$29)</f>
        <v>11957.05</v>
      </c>
      <c r="M113" s="27"/>
    </row>
    <row r="114" spans="1:13" x14ac:dyDescent="0.2">
      <c r="A114" s="11" t="s">
        <v>145</v>
      </c>
      <c r="B114" s="24">
        <v>3539</v>
      </c>
      <c r="C114" s="1"/>
      <c r="D114" s="37">
        <v>1684</v>
      </c>
      <c r="E114" s="82"/>
      <c r="F114" s="37">
        <f>+IF(D114&gt;$D$19,Datos!$B$15,IF(Datos!$B$15/$D$19*D114&lt;Datos!$C$15,Datos!$C$15,Datos!$B$15/$D$19*D114))</f>
        <v>399369</v>
      </c>
      <c r="G114" s="37">
        <f>+IF(D114&gt;$D$19,Datos!$B$3,IF(Datos!$B$3/$D$19*D114&lt;Datos!$C$3,Datos!$C$3,Datos!$B$3/$D$19*D114))</f>
        <v>134127</v>
      </c>
      <c r="H114" s="37">
        <f>+IF($D114&gt;$D$19,Datos!$B$6,IF(Datos!$B$6/$D$19*$D114&lt;Datos!$C$6,Datos!$C$6,Datos!$B$6/$D$19*$D114))</f>
        <v>93905</v>
      </c>
      <c r="I114" s="37">
        <f>+IF($D114&gt;$D$19,Datos!$B$9,IF(Datos!$B$9/$D$19*$D114&lt;Datos!$C$9,Datos!$C$9,Datos!$B$9/$D$19*$D114))</f>
        <v>116361</v>
      </c>
      <c r="L114" s="85">
        <f>+IF(D114&lt;$D$19,Datos!$B$29/$D$19*D114,Datos!$B$29)</f>
        <v>16450</v>
      </c>
      <c r="M114" s="27"/>
    </row>
    <row r="115" spans="1:13" x14ac:dyDescent="0.2">
      <c r="A115" s="11" t="s">
        <v>146</v>
      </c>
      <c r="B115" s="24">
        <v>3544</v>
      </c>
      <c r="C115" s="1"/>
      <c r="D115" s="37">
        <v>952</v>
      </c>
      <c r="E115" s="82"/>
      <c r="F115" s="37">
        <f>+IF(D115&gt;$D$19,Datos!$B$15,IF(Datos!$B$15/$D$19*D115&lt;Datos!$C$15,Datos!$C$15,Datos!$B$15/$D$19*D115))</f>
        <v>334977.34999999998</v>
      </c>
      <c r="G115" s="37">
        <f>+IF(D115&gt;$D$19,Datos!$B$3,IF(Datos!$B$3/$D$19*D115&lt;Datos!$C$3,Datos!$C$3,Datos!$B$3/$D$19*D115))</f>
        <v>127233</v>
      </c>
      <c r="H115" s="37">
        <f>+IF($D115&gt;$D$19,Datos!$B$6,IF(Datos!$B$6/$D$19*$D115&lt;Datos!$C$6,Datos!$C$6,Datos!$B$6/$D$19*$D115))</f>
        <v>90108</v>
      </c>
      <c r="I115" s="37">
        <f>+IF($D115&gt;$D$19,Datos!$B$9,IF(Datos!$B$9/$D$19*$D115&lt;Datos!$C$9,Datos!$C$9,Datos!$B$9/$D$19*$D115))</f>
        <v>111664</v>
      </c>
      <c r="L115" s="85">
        <f>+IF(D115&lt;$D$19,Datos!$B$29/$D$19*D115,Datos!$B$29)</f>
        <v>13797.71</v>
      </c>
      <c r="M115" s="27"/>
    </row>
    <row r="116" spans="1:13" x14ac:dyDescent="0.2">
      <c r="A116" s="11" t="s">
        <v>159</v>
      </c>
      <c r="B116" s="24">
        <v>3549</v>
      </c>
      <c r="C116" s="1"/>
      <c r="D116" s="37">
        <v>1135</v>
      </c>
      <c r="E116" s="82"/>
      <c r="F116" s="37">
        <f>+IF(D116&gt;$D$19,Datos!$B$15,IF(Datos!$B$15/$D$19*D116&lt;Datos!$C$15,Datos!$C$15,Datos!$B$15/$D$19*D116))</f>
        <v>399369</v>
      </c>
      <c r="G116" s="37">
        <f>+IF(D116&gt;$D$19,Datos!$B$3,IF(Datos!$B$3/$D$19*D116&lt;Datos!$C$3,Datos!$C$3,Datos!$B$3/$D$19*D116))</f>
        <v>134127</v>
      </c>
      <c r="H116" s="37">
        <f>+IF($D116&gt;$D$19,Datos!$B$6,IF(Datos!$B$6/$D$19*$D116&lt;Datos!$C$6,Datos!$C$6,Datos!$B$6/$D$19*$D116))</f>
        <v>93905</v>
      </c>
      <c r="I116" s="37">
        <f>+IF($D116&gt;$D$19,Datos!$B$9,IF(Datos!$B$9/$D$19*$D116&lt;Datos!$C$9,Datos!$C$9,Datos!$B$9/$D$19*$D116))</f>
        <v>116361</v>
      </c>
      <c r="L116" s="85">
        <f>+IF(D116&lt;$D$19,Datos!$B$29/$D$19*D116,Datos!$B$29)</f>
        <v>16450</v>
      </c>
      <c r="M116" s="27"/>
    </row>
    <row r="117" spans="1:13" x14ac:dyDescent="0.2">
      <c r="A117" s="11" t="s">
        <v>178</v>
      </c>
      <c r="B117" s="24">
        <v>3554</v>
      </c>
      <c r="C117" s="1"/>
      <c r="D117" s="37">
        <v>825</v>
      </c>
      <c r="E117" s="82"/>
      <c r="F117" s="37">
        <f>+IF(D117&gt;$D$19,Datos!$B$15,IF(Datos!$B$15/$D$19*D117&lt;Datos!$C$15,Datos!$C$15,Datos!$B$15/$D$19*D117))</f>
        <v>290290.24</v>
      </c>
      <c r="G117" s="37">
        <f>+IF(D117&gt;$D$19,Datos!$B$3,IF(Datos!$B$3/$D$19*D117&lt;Datos!$C$3,Datos!$C$3,Datos!$B$3/$D$19*D117))</f>
        <v>127233</v>
      </c>
      <c r="H117" s="37">
        <f>+IF($D117&gt;$D$19,Datos!$B$6,IF(Datos!$B$6/$D$19*$D117&lt;Datos!$C$6,Datos!$C$6,Datos!$B$6/$D$19*$D117))</f>
        <v>90108</v>
      </c>
      <c r="I117" s="37">
        <f>+IF($D117&gt;$D$19,Datos!$B$9,IF(Datos!$B$9/$D$19*$D117&lt;Datos!$C$9,Datos!$C$9,Datos!$B$9/$D$19*$D117))</f>
        <v>111664</v>
      </c>
      <c r="L117" s="85">
        <f>+IF(D117&lt;$D$19,Datos!$B$29/$D$19*D117,Datos!$B$29)</f>
        <v>11957.05</v>
      </c>
      <c r="M117" s="27"/>
    </row>
    <row r="118" spans="1:13" x14ac:dyDescent="0.2">
      <c r="A118" s="11" t="s">
        <v>147</v>
      </c>
      <c r="B118" s="24">
        <v>3565</v>
      </c>
      <c r="C118" s="1"/>
      <c r="D118" s="37">
        <v>825</v>
      </c>
      <c r="E118" s="82"/>
      <c r="F118" s="37">
        <f>+IF(D118&gt;$D$19,Datos!$B$15,IF(Datos!$B$15/$D$19*D118&lt;Datos!$C$15,Datos!$C$15,Datos!$B$15/$D$19*D118))</f>
        <v>290290.24</v>
      </c>
      <c r="G118" s="37">
        <f>+IF(D118&gt;$D$19,Datos!$B$3,IF(Datos!$B$3/$D$19*D118&lt;Datos!$C$3,Datos!$C$3,Datos!$B$3/$D$19*D118))</f>
        <v>127233</v>
      </c>
      <c r="H118" s="37">
        <f>+IF($D118&gt;$D$19,Datos!$B$6,IF(Datos!$B$6/$D$19*$D118&lt;Datos!$C$6,Datos!$C$6,Datos!$B$6/$D$19*$D118))</f>
        <v>90108</v>
      </c>
      <c r="I118" s="37">
        <f>+IF($D118&gt;$D$19,Datos!$B$9,IF(Datos!$B$9/$D$19*$D118&lt;Datos!$C$9,Datos!$C$9,Datos!$B$9/$D$19*$D118))</f>
        <v>111664</v>
      </c>
      <c r="L118" s="85">
        <f>+IF(D118&lt;$D$19,Datos!$B$29/$D$19*D118,Datos!$B$29)</f>
        <v>11957.05</v>
      </c>
      <c r="M118" s="27"/>
    </row>
    <row r="119" spans="1:13" x14ac:dyDescent="0.2">
      <c r="A119" s="11" t="s">
        <v>152</v>
      </c>
      <c r="B119" s="24">
        <v>3598</v>
      </c>
      <c r="C119" s="1"/>
      <c r="D119" s="37">
        <v>65</v>
      </c>
      <c r="E119" s="82"/>
      <c r="F119" s="37">
        <f>Datos!$B$15/20</f>
        <v>19968.45</v>
      </c>
      <c r="G119" s="37">
        <f>Datos!$B$5</f>
        <v>7059.32</v>
      </c>
      <c r="H119" s="37">
        <f>Datos!$B$8</f>
        <v>4942.37</v>
      </c>
      <c r="I119" s="37">
        <f>Datos!$B$11</f>
        <v>6124.26</v>
      </c>
      <c r="L119" s="85">
        <f>Datos!$B$31</f>
        <v>865.79</v>
      </c>
      <c r="M119" s="27"/>
    </row>
    <row r="120" spans="1:13" x14ac:dyDescent="0.2">
      <c r="A120" s="9" t="s">
        <v>148</v>
      </c>
      <c r="C120" s="1"/>
      <c r="D120" s="37"/>
      <c r="E120" s="82"/>
      <c r="F120" s="37"/>
      <c r="G120" s="37"/>
      <c r="H120" s="37"/>
      <c r="I120" s="37"/>
      <c r="L120" s="85">
        <v>0</v>
      </c>
    </row>
    <row r="121" spans="1:13" x14ac:dyDescent="0.2">
      <c r="A121" s="11" t="s">
        <v>156</v>
      </c>
      <c r="B121" s="24">
        <v>3503</v>
      </c>
      <c r="C121" s="1"/>
      <c r="D121" s="37">
        <v>3422</v>
      </c>
      <c r="E121" s="82"/>
      <c r="F121" s="38">
        <f>+IF(D121&gt;$D$19,Datos!$B$15,IF(Datos!$B$15/$D$19*D121&lt;Datos!$C$15,Datos!$C$15,Datos!$B$15/$D$19*D121))</f>
        <v>399369</v>
      </c>
      <c r="G121" s="38"/>
      <c r="H121" s="38"/>
      <c r="I121" s="38"/>
      <c r="J121" s="30">
        <v>1</v>
      </c>
      <c r="L121" s="85"/>
    </row>
    <row r="122" spans="1:13" x14ac:dyDescent="0.2">
      <c r="A122" s="11" t="s">
        <v>158</v>
      </c>
      <c r="B122" s="24">
        <v>3504</v>
      </c>
      <c r="C122" s="1"/>
      <c r="D122" s="37">
        <v>2874</v>
      </c>
      <c r="E122" s="82"/>
      <c r="F122" s="38">
        <f>+IF(D122&gt;$D$19,Datos!$B$15,IF(Datos!$B$15/$D$19*D122&lt;Datos!$C$15,Datos!$C$15,Datos!$B$15/$D$19*D122))</f>
        <v>399369</v>
      </c>
      <c r="G122" s="38"/>
      <c r="H122" s="38"/>
      <c r="I122" s="38"/>
      <c r="J122" s="30">
        <v>1</v>
      </c>
      <c r="L122" s="85"/>
    </row>
    <row r="123" spans="1:13" x14ac:dyDescent="0.2">
      <c r="A123" s="11" t="s">
        <v>157</v>
      </c>
      <c r="B123" s="24">
        <v>3582</v>
      </c>
      <c r="C123" s="1"/>
      <c r="D123" s="37">
        <v>952</v>
      </c>
      <c r="E123" s="82"/>
      <c r="F123" s="38">
        <f>+IF(D123&gt;$D$19,Datos!$B$15,IF(Datos!$B$15/$D$19*D123&lt;Datos!$C$15,Datos!$C$15,Datos!$B$15/$D$19*D123))</f>
        <v>334977.34999999998</v>
      </c>
      <c r="G123" s="38"/>
      <c r="H123" s="38"/>
      <c r="I123" s="38"/>
      <c r="L123" s="85"/>
    </row>
    <row r="124" spans="1:13" x14ac:dyDescent="0.2">
      <c r="A124" s="11" t="s">
        <v>149</v>
      </c>
      <c r="B124" s="24">
        <v>455</v>
      </c>
      <c r="C124" s="1"/>
      <c r="D124" s="37">
        <v>2264</v>
      </c>
      <c r="E124" s="82"/>
      <c r="F124" s="38">
        <f>+IF(D124&gt;$D$19,Datos!$B$15,IF(Datos!$B$15/$D$19*D124&lt;Datos!$C$15,Datos!$C$15,Datos!$B$15/$D$19*D124))</f>
        <v>399369</v>
      </c>
      <c r="G124" s="38"/>
      <c r="H124" s="38"/>
      <c r="I124" s="38"/>
      <c r="L124" s="85"/>
    </row>
    <row r="125" spans="1:13" x14ac:dyDescent="0.2">
      <c r="D125" s="33"/>
    </row>
    <row r="126" spans="1:13" x14ac:dyDescent="0.2">
      <c r="D126" s="33"/>
    </row>
    <row r="127" spans="1:13" x14ac:dyDescent="0.2">
      <c r="D127" s="33"/>
    </row>
    <row r="128" spans="1:13" x14ac:dyDescent="0.2">
      <c r="D128" s="33"/>
    </row>
    <row r="129" spans="4:4" x14ac:dyDescent="0.2">
      <c r="D129" s="33"/>
    </row>
    <row r="130" spans="4:4" x14ac:dyDescent="0.2">
      <c r="D130" s="33"/>
    </row>
    <row r="131" spans="4:4" x14ac:dyDescent="0.2">
      <c r="D131" s="33"/>
    </row>
    <row r="132" spans="4:4" x14ac:dyDescent="0.2">
      <c r="D132" s="33"/>
    </row>
    <row r="133" spans="4:4" x14ac:dyDescent="0.2">
      <c r="D133" s="33"/>
    </row>
    <row r="134" spans="4:4" x14ac:dyDescent="0.2">
      <c r="D134" s="33"/>
    </row>
    <row r="135" spans="4:4" x14ac:dyDescent="0.2">
      <c r="D135" s="33"/>
    </row>
    <row r="136" spans="4:4" x14ac:dyDescent="0.2">
      <c r="D136" s="33"/>
    </row>
    <row r="137" spans="4:4" x14ac:dyDescent="0.2">
      <c r="D137" s="33"/>
    </row>
    <row r="138" spans="4:4" x14ac:dyDescent="0.2">
      <c r="D138" s="33"/>
    </row>
    <row r="139" spans="4:4" x14ac:dyDescent="0.2">
      <c r="D139" s="33"/>
    </row>
    <row r="140" spans="4:4" x14ac:dyDescent="0.2">
      <c r="D140" s="33"/>
    </row>
    <row r="141" spans="4:4" x14ac:dyDescent="0.2">
      <c r="D141" s="33"/>
    </row>
    <row r="142" spans="4:4" x14ac:dyDescent="0.2">
      <c r="D142" s="33"/>
    </row>
    <row r="143" spans="4:4" x14ac:dyDescent="0.2">
      <c r="D143" s="33"/>
    </row>
    <row r="144" spans="4:4" x14ac:dyDescent="0.2">
      <c r="D144" s="33"/>
    </row>
    <row r="145" spans="4:4" x14ac:dyDescent="0.2">
      <c r="D145" s="33"/>
    </row>
    <row r="146" spans="4:4" x14ac:dyDescent="0.2">
      <c r="D146" s="33"/>
    </row>
    <row r="147" spans="4:4" x14ac:dyDescent="0.2">
      <c r="D147" s="33"/>
    </row>
    <row r="148" spans="4:4" x14ac:dyDescent="0.2">
      <c r="D148" s="33"/>
    </row>
    <row r="149" spans="4:4" x14ac:dyDescent="0.2">
      <c r="D149" s="33"/>
    </row>
    <row r="150" spans="4:4" x14ac:dyDescent="0.2">
      <c r="D150" s="33"/>
    </row>
    <row r="151" spans="4:4" x14ac:dyDescent="0.2">
      <c r="D151" s="33"/>
    </row>
    <row r="152" spans="4:4" x14ac:dyDescent="0.2">
      <c r="D152" s="33"/>
    </row>
    <row r="153" spans="4:4" x14ac:dyDescent="0.2">
      <c r="D153" s="33"/>
    </row>
    <row r="154" spans="4:4" x14ac:dyDescent="0.2">
      <c r="D154" s="33"/>
    </row>
    <row r="155" spans="4:4" x14ac:dyDescent="0.2">
      <c r="D155" s="33"/>
    </row>
    <row r="156" spans="4:4" x14ac:dyDescent="0.2">
      <c r="D156" s="33"/>
    </row>
    <row r="157" spans="4:4" x14ac:dyDescent="0.2">
      <c r="D157" s="33"/>
    </row>
    <row r="158" spans="4:4" x14ac:dyDescent="0.2">
      <c r="D158" s="33"/>
    </row>
    <row r="159" spans="4:4" x14ac:dyDescent="0.2">
      <c r="D159" s="33"/>
    </row>
    <row r="160" spans="4:4" x14ac:dyDescent="0.2">
      <c r="D160" s="33"/>
    </row>
    <row r="161" spans="4:4" x14ac:dyDescent="0.2">
      <c r="D161" s="33"/>
    </row>
    <row r="162" spans="4:4" x14ac:dyDescent="0.2">
      <c r="D162" s="33"/>
    </row>
    <row r="163" spans="4:4" x14ac:dyDescent="0.2">
      <c r="D163" s="33"/>
    </row>
  </sheetData>
  <sheetProtection sheet="1" selectLockedCells="1" selectUnlockedCells="1"/>
  <mergeCells count="6">
    <mergeCell ref="L1:L2"/>
    <mergeCell ref="F1:F2"/>
    <mergeCell ref="H1:H2"/>
    <mergeCell ref="J1:J2"/>
    <mergeCell ref="K1:K2"/>
    <mergeCell ref="I1:I2"/>
  </mergeCells>
  <phoneticPr fontId="5" type="noConversion"/>
  <pageMargins left="0.75" right="0.75" top="1" bottom="1" header="0" footer="0"/>
  <pageSetup paperSize="9" scale="54" fitToHeight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88"/>
  <sheetViews>
    <sheetView topLeftCell="A22" zoomScale="115" workbookViewId="0">
      <selection activeCell="C39" sqref="C39"/>
    </sheetView>
  </sheetViews>
  <sheetFormatPr baseColWidth="10" defaultRowHeight="12.75" x14ac:dyDescent="0.2"/>
  <cols>
    <col min="1" max="1" width="29.42578125" customWidth="1"/>
    <col min="2" max="2" width="13.7109375" customWidth="1"/>
    <col min="3" max="3" width="15.5703125" customWidth="1"/>
    <col min="4" max="4" width="24.42578125" bestFit="1" customWidth="1"/>
  </cols>
  <sheetData>
    <row r="1" spans="1:4" ht="15.75" thickBot="1" x14ac:dyDescent="0.3">
      <c r="A1" s="122" t="s">
        <v>21</v>
      </c>
      <c r="B1" s="122" t="s">
        <v>22</v>
      </c>
      <c r="C1" s="122" t="s">
        <v>188</v>
      </c>
      <c r="D1" s="122" t="s">
        <v>200</v>
      </c>
    </row>
    <row r="2" spans="1:4" ht="14.25" thickTop="1" thickBot="1" x14ac:dyDescent="0.25">
      <c r="A2" s="96" t="s">
        <v>17</v>
      </c>
      <c r="B2" s="128">
        <v>107.45</v>
      </c>
      <c r="C2" s="97"/>
      <c r="D2" s="97"/>
    </row>
    <row r="3" spans="1:4" x14ac:dyDescent="0.2">
      <c r="A3" s="98" t="s">
        <v>23</v>
      </c>
      <c r="B3" s="99">
        <v>134127</v>
      </c>
      <c r="C3" s="100">
        <v>127233</v>
      </c>
      <c r="D3" s="101" t="s">
        <v>201</v>
      </c>
    </row>
    <row r="4" spans="1:4" x14ac:dyDescent="0.2">
      <c r="A4" s="102" t="s">
        <v>24</v>
      </c>
      <c r="B4" s="2">
        <f>+B3*2</f>
        <v>268254</v>
      </c>
      <c r="C4" s="2">
        <f>+C3*2</f>
        <v>254466</v>
      </c>
      <c r="D4" s="103"/>
    </row>
    <row r="5" spans="1:4" ht="13.5" thickBot="1" x14ac:dyDescent="0.25">
      <c r="A5" s="104" t="s">
        <v>25</v>
      </c>
      <c r="B5" s="105">
        <f>+B3/19</f>
        <v>7059.32</v>
      </c>
      <c r="C5" s="106"/>
      <c r="D5" s="107" t="s">
        <v>202</v>
      </c>
    </row>
    <row r="6" spans="1:4" x14ac:dyDescent="0.2">
      <c r="A6" s="98" t="s">
        <v>191</v>
      </c>
      <c r="B6" s="100">
        <v>93905</v>
      </c>
      <c r="C6" s="100">
        <v>90108</v>
      </c>
      <c r="D6" s="101" t="s">
        <v>201</v>
      </c>
    </row>
    <row r="7" spans="1:4" x14ac:dyDescent="0.2">
      <c r="A7" s="102" t="s">
        <v>192</v>
      </c>
      <c r="B7" s="2">
        <f>+B6*2</f>
        <v>187810</v>
      </c>
      <c r="C7" s="93">
        <f>+C6*2</f>
        <v>180216</v>
      </c>
      <c r="D7" s="103"/>
    </row>
    <row r="8" spans="1:4" ht="13.5" thickBot="1" x14ac:dyDescent="0.25">
      <c r="A8" s="104" t="s">
        <v>193</v>
      </c>
      <c r="B8" s="105">
        <f>+B6/19</f>
        <v>4942.37</v>
      </c>
      <c r="C8" s="106"/>
      <c r="D8" s="107" t="s">
        <v>202</v>
      </c>
    </row>
    <row r="9" spans="1:4" x14ac:dyDescent="0.2">
      <c r="A9" s="98" t="s">
        <v>194</v>
      </c>
      <c r="B9" s="100">
        <v>116361</v>
      </c>
      <c r="C9" s="99">
        <v>111664</v>
      </c>
      <c r="D9" s="101" t="s">
        <v>201</v>
      </c>
    </row>
    <row r="10" spans="1:4" x14ac:dyDescent="0.2">
      <c r="A10" s="102" t="s">
        <v>195</v>
      </c>
      <c r="B10" s="2">
        <f>+B9*2</f>
        <v>232722</v>
      </c>
      <c r="C10" s="2">
        <f>+C9*2</f>
        <v>223328</v>
      </c>
      <c r="D10" s="103"/>
    </row>
    <row r="11" spans="1:4" ht="13.5" thickBot="1" x14ac:dyDescent="0.25">
      <c r="A11" s="104" t="s">
        <v>196</v>
      </c>
      <c r="B11" s="105">
        <f>+B9/19</f>
        <v>6124.26</v>
      </c>
      <c r="C11" s="106"/>
      <c r="D11" s="107" t="s">
        <v>202</v>
      </c>
    </row>
    <row r="12" spans="1:4" x14ac:dyDescent="0.2">
      <c r="A12" s="98" t="s">
        <v>197</v>
      </c>
      <c r="B12" s="99">
        <v>0</v>
      </c>
      <c r="C12" s="110"/>
      <c r="D12" s="101" t="s">
        <v>201</v>
      </c>
    </row>
    <row r="13" spans="1:4" x14ac:dyDescent="0.2">
      <c r="A13" s="102" t="s">
        <v>198</v>
      </c>
      <c r="B13" s="2">
        <v>0</v>
      </c>
      <c r="C13" s="111"/>
      <c r="D13" s="103"/>
    </row>
    <row r="14" spans="1:4" ht="13.5" thickBot="1" x14ac:dyDescent="0.25">
      <c r="A14" s="104" t="s">
        <v>199</v>
      </c>
      <c r="B14" s="109">
        <v>0</v>
      </c>
      <c r="C14" s="109">
        <f>ROUNDUP(B12/12,4)</f>
        <v>0</v>
      </c>
      <c r="D14" s="107" t="s">
        <v>203</v>
      </c>
    </row>
    <row r="15" spans="1:4" x14ac:dyDescent="0.2">
      <c r="A15" s="112" t="s">
        <v>204</v>
      </c>
      <c r="B15" s="99">
        <v>399369</v>
      </c>
      <c r="C15" s="113">
        <v>251565</v>
      </c>
      <c r="D15" s="101"/>
    </row>
    <row r="16" spans="1:4" x14ac:dyDescent="0.2">
      <c r="A16" s="114" t="s">
        <v>205</v>
      </c>
      <c r="B16" s="2">
        <f>+B15*2</f>
        <v>798738</v>
      </c>
      <c r="C16" s="92">
        <v>642618</v>
      </c>
      <c r="D16" s="103"/>
    </row>
    <row r="17" spans="1:4" ht="13.5" thickBot="1" x14ac:dyDescent="0.25">
      <c r="A17" s="115" t="s">
        <v>206</v>
      </c>
      <c r="B17" s="105">
        <f>+B15/20</f>
        <v>19968.45</v>
      </c>
      <c r="C17" s="116"/>
      <c r="D17" s="107"/>
    </row>
    <row r="18" spans="1:4" ht="13.5" thickBot="1" x14ac:dyDescent="0.25">
      <c r="A18" s="96"/>
      <c r="B18" s="117"/>
      <c r="D18" s="30"/>
    </row>
    <row r="19" spans="1:4" x14ac:dyDescent="0.2">
      <c r="A19" s="98" t="s">
        <v>18</v>
      </c>
      <c r="B19" s="99">
        <v>0</v>
      </c>
      <c r="C19" s="110"/>
      <c r="D19" s="101" t="s">
        <v>201</v>
      </c>
    </row>
    <row r="20" spans="1:4" x14ac:dyDescent="0.2">
      <c r="A20" s="102" t="s">
        <v>19</v>
      </c>
      <c r="B20" s="2">
        <f>+B19*2</f>
        <v>0</v>
      </c>
      <c r="C20" s="111"/>
      <c r="D20" s="103"/>
    </row>
    <row r="21" spans="1:4" ht="13.5" thickBot="1" x14ac:dyDescent="0.25">
      <c r="A21" s="104" t="s">
        <v>20</v>
      </c>
      <c r="B21" s="105">
        <f>+B19/15</f>
        <v>0</v>
      </c>
      <c r="C21" s="105">
        <f>+B19/12</f>
        <v>0</v>
      </c>
      <c r="D21" s="107" t="s">
        <v>203</v>
      </c>
    </row>
    <row r="22" spans="1:4" ht="13.5" thickBot="1" x14ac:dyDescent="0.25">
      <c r="A22" s="98" t="s">
        <v>229</v>
      </c>
      <c r="B22" s="99">
        <v>12250</v>
      </c>
      <c r="C22" s="110"/>
      <c r="D22" s="101" t="s">
        <v>201</v>
      </c>
    </row>
    <row r="23" spans="1:4" ht="13.5" thickBot="1" x14ac:dyDescent="0.25">
      <c r="A23" s="98" t="s">
        <v>230</v>
      </c>
      <c r="B23" s="2">
        <f>+B22*2</f>
        <v>24500</v>
      </c>
      <c r="C23" s="111"/>
      <c r="D23" s="103"/>
    </row>
    <row r="24" spans="1:4" ht="13.5" thickBot="1" x14ac:dyDescent="0.25">
      <c r="A24" s="98" t="s">
        <v>231</v>
      </c>
      <c r="B24" s="109">
        <f>+B22/15</f>
        <v>816.66669999999999</v>
      </c>
      <c r="C24" s="109">
        <f>+B22/12</f>
        <v>1020.8333</v>
      </c>
      <c r="D24" s="107" t="s">
        <v>203</v>
      </c>
    </row>
    <row r="25" spans="1:4" x14ac:dyDescent="0.2">
      <c r="A25" s="98" t="s">
        <v>218</v>
      </c>
      <c r="B25" s="118">
        <v>38500</v>
      </c>
      <c r="C25" s="119"/>
      <c r="D25" s="101" t="s">
        <v>201</v>
      </c>
    </row>
    <row r="26" spans="1:4" x14ac:dyDescent="0.2">
      <c r="A26" s="102" t="s">
        <v>219</v>
      </c>
      <c r="B26" s="86">
        <f>B25*2</f>
        <v>77000</v>
      </c>
      <c r="C26" s="120"/>
      <c r="D26" s="103"/>
    </row>
    <row r="27" spans="1:4" ht="13.5" thickBot="1" x14ac:dyDescent="0.25">
      <c r="A27" s="104" t="s">
        <v>220</v>
      </c>
      <c r="B27" s="125">
        <f>ROUNDUP(B26/30,4)</f>
        <v>2566.67</v>
      </c>
      <c r="C27" s="125">
        <f>ROUNDUP(B26/24,4)</f>
        <v>3208.33</v>
      </c>
      <c r="D27" s="107" t="s">
        <v>203</v>
      </c>
    </row>
    <row r="28" spans="1:4" x14ac:dyDescent="0.2">
      <c r="A28" s="3"/>
      <c r="B28" s="108"/>
      <c r="D28" s="30"/>
    </row>
    <row r="29" spans="1:4" x14ac:dyDescent="0.2">
      <c r="A29" s="1" t="s">
        <v>222</v>
      </c>
      <c r="B29" s="2">
        <v>16450</v>
      </c>
      <c r="D29" s="30" t="s">
        <v>226</v>
      </c>
    </row>
    <row r="30" spans="1:4" x14ac:dyDescent="0.2">
      <c r="A30" s="1" t="s">
        <v>223</v>
      </c>
      <c r="B30" s="2">
        <f>+B29*2</f>
        <v>32900</v>
      </c>
      <c r="D30" s="30"/>
    </row>
    <row r="31" spans="1:4" x14ac:dyDescent="0.2">
      <c r="A31" s="1" t="s">
        <v>224</v>
      </c>
      <c r="B31" s="2">
        <f>+B29/19</f>
        <v>865.79</v>
      </c>
    </row>
    <row r="32" spans="1:4" x14ac:dyDescent="0.2">
      <c r="A32" s="83"/>
      <c r="B32" s="2"/>
      <c r="D32" s="87" t="s">
        <v>181</v>
      </c>
    </row>
    <row r="33" spans="1:4" x14ac:dyDescent="0.2">
      <c r="A33" s="3"/>
      <c r="B33" s="2"/>
      <c r="D33" s="88">
        <v>0</v>
      </c>
    </row>
    <row r="34" spans="1:4" x14ac:dyDescent="0.2">
      <c r="A34" s="94" t="s">
        <v>114</v>
      </c>
      <c r="B34" s="95">
        <v>23.5</v>
      </c>
      <c r="D34" s="88">
        <v>0</v>
      </c>
    </row>
    <row r="35" spans="1:4" x14ac:dyDescent="0.2">
      <c r="A35" s="94" t="s">
        <v>115</v>
      </c>
      <c r="B35" s="95">
        <v>19</v>
      </c>
      <c r="C35" s="39"/>
      <c r="D35" s="89">
        <f>+D33/19</f>
        <v>0</v>
      </c>
    </row>
    <row r="36" spans="1:4" x14ac:dyDescent="0.2">
      <c r="A36" s="94" t="s">
        <v>233</v>
      </c>
      <c r="B36" s="95">
        <v>1471616.1</v>
      </c>
      <c r="C36" s="150"/>
    </row>
    <row r="38" spans="1:4" ht="15.75" thickBot="1" x14ac:dyDescent="0.3">
      <c r="A38" s="121" t="s">
        <v>26</v>
      </c>
    </row>
    <row r="39" spans="1:4" ht="13.5" thickTop="1" x14ac:dyDescent="0.2">
      <c r="A39" s="3" t="s">
        <v>207</v>
      </c>
    </row>
    <row r="40" spans="1:4" x14ac:dyDescent="0.2">
      <c r="A40" s="1" t="s">
        <v>164</v>
      </c>
    </row>
    <row r="41" spans="1:4" x14ac:dyDescent="0.2">
      <c r="A41" s="44" t="s">
        <v>228</v>
      </c>
    </row>
    <row r="42" spans="1:4" x14ac:dyDescent="0.2">
      <c r="A42" s="44" t="s">
        <v>221</v>
      </c>
    </row>
    <row r="43" spans="1:4" x14ac:dyDescent="0.2">
      <c r="A43" s="44" t="s">
        <v>232</v>
      </c>
    </row>
    <row r="44" spans="1:4" x14ac:dyDescent="0.2">
      <c r="A44" s="44" t="s">
        <v>209</v>
      </c>
    </row>
    <row r="45" spans="1:4" x14ac:dyDescent="0.2">
      <c r="A45" s="44" t="s">
        <v>208</v>
      </c>
    </row>
    <row r="46" spans="1:4" x14ac:dyDescent="0.2">
      <c r="A46" s="44" t="s">
        <v>227</v>
      </c>
    </row>
    <row r="48" spans="1:4" ht="15.75" thickBot="1" x14ac:dyDescent="0.3">
      <c r="A48" s="121" t="s">
        <v>113</v>
      </c>
    </row>
    <row r="49" spans="1:1" ht="13.5" thickTop="1" x14ac:dyDescent="0.2">
      <c r="A49" s="3" t="s">
        <v>111</v>
      </c>
    </row>
    <row r="50" spans="1:1" x14ac:dyDescent="0.2">
      <c r="A50" s="1" t="s">
        <v>112</v>
      </c>
    </row>
    <row r="52" spans="1:1" ht="15" x14ac:dyDescent="0.25">
      <c r="A52" s="123" t="s">
        <v>171</v>
      </c>
    </row>
    <row r="53" spans="1:1" x14ac:dyDescent="0.2">
      <c r="A53" s="1">
        <v>1</v>
      </c>
    </row>
    <row r="54" spans="1:1" x14ac:dyDescent="0.2">
      <c r="A54" s="1">
        <v>2</v>
      </c>
    </row>
    <row r="55" spans="1:1" x14ac:dyDescent="0.2">
      <c r="A55" s="1">
        <v>3</v>
      </c>
    </row>
    <row r="56" spans="1:1" x14ac:dyDescent="0.2">
      <c r="A56" s="1">
        <v>4</v>
      </c>
    </row>
    <row r="57" spans="1:1" x14ac:dyDescent="0.2">
      <c r="A57" s="1">
        <v>5</v>
      </c>
    </row>
    <row r="58" spans="1:1" x14ac:dyDescent="0.2">
      <c r="A58" s="1">
        <v>6</v>
      </c>
    </row>
    <row r="59" spans="1:1" x14ac:dyDescent="0.2">
      <c r="A59" s="1">
        <v>7</v>
      </c>
    </row>
    <row r="60" spans="1:1" x14ac:dyDescent="0.2">
      <c r="A60" s="1">
        <v>8</v>
      </c>
    </row>
    <row r="61" spans="1:1" x14ac:dyDescent="0.2">
      <c r="A61" s="1">
        <v>9</v>
      </c>
    </row>
    <row r="62" spans="1:1" x14ac:dyDescent="0.2">
      <c r="A62" s="1">
        <v>10</v>
      </c>
    </row>
    <row r="63" spans="1:1" x14ac:dyDescent="0.2">
      <c r="A63" s="1">
        <v>11</v>
      </c>
    </row>
    <row r="64" spans="1:1" x14ac:dyDescent="0.2">
      <c r="A64" s="1">
        <v>12</v>
      </c>
    </row>
    <row r="65" spans="1:1" x14ac:dyDescent="0.2">
      <c r="A65" s="1">
        <v>13</v>
      </c>
    </row>
    <row r="66" spans="1:1" x14ac:dyDescent="0.2">
      <c r="A66" s="1">
        <v>14</v>
      </c>
    </row>
    <row r="67" spans="1:1" x14ac:dyDescent="0.2">
      <c r="A67" s="1">
        <v>15</v>
      </c>
    </row>
    <row r="68" spans="1:1" x14ac:dyDescent="0.2">
      <c r="A68" s="1">
        <v>16</v>
      </c>
    </row>
    <row r="69" spans="1:1" x14ac:dyDescent="0.2">
      <c r="A69" s="1">
        <v>17</v>
      </c>
    </row>
    <row r="70" spans="1:1" x14ac:dyDescent="0.2">
      <c r="A70" s="1">
        <v>18</v>
      </c>
    </row>
    <row r="71" spans="1:1" x14ac:dyDescent="0.2">
      <c r="A71" s="1">
        <v>19</v>
      </c>
    </row>
    <row r="72" spans="1:1" x14ac:dyDescent="0.2">
      <c r="A72" s="1">
        <v>20</v>
      </c>
    </row>
    <row r="73" spans="1:1" x14ac:dyDescent="0.2">
      <c r="A73" s="1">
        <v>21</v>
      </c>
    </row>
    <row r="74" spans="1:1" x14ac:dyDescent="0.2">
      <c r="A74" s="1">
        <v>22</v>
      </c>
    </row>
    <row r="75" spans="1:1" x14ac:dyDescent="0.2">
      <c r="A75" s="1">
        <v>23</v>
      </c>
    </row>
    <row r="76" spans="1:1" x14ac:dyDescent="0.2">
      <c r="A76" s="1">
        <v>24</v>
      </c>
    </row>
    <row r="77" spans="1:1" x14ac:dyDescent="0.2">
      <c r="A77" s="1">
        <v>25</v>
      </c>
    </row>
    <row r="78" spans="1:1" x14ac:dyDescent="0.2">
      <c r="A78" s="1">
        <v>26</v>
      </c>
    </row>
    <row r="79" spans="1:1" x14ac:dyDescent="0.2">
      <c r="A79" s="1">
        <v>27</v>
      </c>
    </row>
    <row r="80" spans="1:1" x14ac:dyDescent="0.2">
      <c r="A80" s="1">
        <v>28</v>
      </c>
    </row>
    <row r="81" spans="1:1" x14ac:dyDescent="0.2">
      <c r="A81" s="1">
        <v>29</v>
      </c>
    </row>
    <row r="82" spans="1:1" x14ac:dyDescent="0.2">
      <c r="A82" s="1">
        <v>30</v>
      </c>
    </row>
    <row r="85" spans="1:1" ht="15.75" thickBot="1" x14ac:dyDescent="0.3">
      <c r="A85" s="121" t="s">
        <v>176</v>
      </c>
    </row>
    <row r="86" spans="1:1" ht="13.5" thickTop="1" x14ac:dyDescent="0.2">
      <c r="A86" s="1">
        <v>6</v>
      </c>
    </row>
    <row r="87" spans="1:1" x14ac:dyDescent="0.2">
      <c r="A87" s="1">
        <v>10</v>
      </c>
    </row>
    <row r="88" spans="1:1" x14ac:dyDescent="0.2">
      <c r="A88" s="1">
        <v>15</v>
      </c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28"/>
  <sheetViews>
    <sheetView topLeftCell="G1" workbookViewId="0">
      <selection activeCell="E9" sqref="E9:E10"/>
    </sheetView>
  </sheetViews>
  <sheetFormatPr baseColWidth="10" defaultRowHeight="12.75" x14ac:dyDescent="0.2"/>
  <cols>
    <col min="1" max="1" width="28.28515625" bestFit="1" customWidth="1"/>
    <col min="2" max="2" width="32.42578125" bestFit="1" customWidth="1"/>
    <col min="3" max="3" width="34.85546875" bestFit="1" customWidth="1"/>
    <col min="4" max="4" width="32.28515625" bestFit="1" customWidth="1"/>
    <col min="5" max="5" width="38" bestFit="1" customWidth="1"/>
    <col min="6" max="6" width="38.7109375" bestFit="1" customWidth="1"/>
    <col min="7" max="7" width="54.42578125" bestFit="1" customWidth="1"/>
    <col min="8" max="8" width="28.28515625" bestFit="1" customWidth="1"/>
    <col min="9" max="9" width="28.7109375" bestFit="1" customWidth="1"/>
    <col min="10" max="10" width="30.42578125" bestFit="1" customWidth="1"/>
    <col min="11" max="11" width="35.85546875" bestFit="1" customWidth="1"/>
    <col min="12" max="12" width="29" bestFit="1" customWidth="1"/>
    <col min="13" max="13" width="35.5703125" bestFit="1" customWidth="1"/>
    <col min="14" max="14" width="35.5703125" customWidth="1"/>
  </cols>
  <sheetData>
    <row r="1" spans="1:14" x14ac:dyDescent="0.2">
      <c r="A1" t="s">
        <v>118</v>
      </c>
    </row>
    <row r="3" spans="1:14" x14ac:dyDescent="0.2">
      <c r="A3" s="12" t="s">
        <v>36</v>
      </c>
      <c r="B3" s="14" t="s">
        <v>28</v>
      </c>
      <c r="C3" s="14" t="s">
        <v>30</v>
      </c>
      <c r="D3" s="14" t="s">
        <v>27</v>
      </c>
      <c r="E3" s="14" t="s">
        <v>29</v>
      </c>
      <c r="F3" s="14" t="s">
        <v>31</v>
      </c>
      <c r="G3" s="14" t="s">
        <v>117</v>
      </c>
      <c r="H3" s="14" t="s">
        <v>116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154</v>
      </c>
      <c r="N3" s="14" t="s">
        <v>155</v>
      </c>
    </row>
    <row r="4" spans="1:14" x14ac:dyDescent="0.2">
      <c r="A4" s="13" t="s">
        <v>28</v>
      </c>
      <c r="B4" s="15" t="s">
        <v>38</v>
      </c>
      <c r="C4" s="15" t="s">
        <v>45</v>
      </c>
      <c r="D4" s="15" t="s">
        <v>52</v>
      </c>
      <c r="E4" s="15" t="s">
        <v>63</v>
      </c>
      <c r="F4" s="15" t="s">
        <v>70</v>
      </c>
      <c r="G4" s="15" t="s">
        <v>77</v>
      </c>
      <c r="H4" s="15" t="s">
        <v>76</v>
      </c>
      <c r="I4" s="15" t="s">
        <v>99</v>
      </c>
      <c r="J4" s="15" t="s">
        <v>120</v>
      </c>
      <c r="K4" s="15" t="s">
        <v>129</v>
      </c>
      <c r="L4" s="15" t="s">
        <v>141</v>
      </c>
      <c r="M4" s="15" t="s">
        <v>156</v>
      </c>
      <c r="N4" s="15" t="s">
        <v>139</v>
      </c>
    </row>
    <row r="5" spans="1:14" x14ac:dyDescent="0.2">
      <c r="A5" s="13" t="s">
        <v>30</v>
      </c>
      <c r="B5" s="15" t="s">
        <v>39</v>
      </c>
      <c r="C5" s="15" t="s">
        <v>46</v>
      </c>
      <c r="D5" s="15" t="s">
        <v>53</v>
      </c>
      <c r="E5" s="15" t="s">
        <v>64</v>
      </c>
      <c r="F5" s="15" t="s">
        <v>71</v>
      </c>
      <c r="G5" s="15" t="s">
        <v>78</v>
      </c>
      <c r="H5" s="15" t="s">
        <v>179</v>
      </c>
      <c r="I5" s="15" t="s">
        <v>100</v>
      </c>
      <c r="J5" s="15" t="s">
        <v>122</v>
      </c>
      <c r="K5" s="15" t="s">
        <v>130</v>
      </c>
      <c r="L5" s="15" t="s">
        <v>142</v>
      </c>
      <c r="M5" s="15" t="s">
        <v>158</v>
      </c>
      <c r="N5" s="15"/>
    </row>
    <row r="6" spans="1:14" x14ac:dyDescent="0.2">
      <c r="A6" s="13" t="s">
        <v>27</v>
      </c>
      <c r="B6" s="15" t="s">
        <v>40</v>
      </c>
      <c r="C6" s="15" t="s">
        <v>47</v>
      </c>
      <c r="D6" s="15" t="s">
        <v>54</v>
      </c>
      <c r="E6" s="15" t="s">
        <v>65</v>
      </c>
      <c r="F6" s="15" t="s">
        <v>72</v>
      </c>
      <c r="G6" s="15" t="s">
        <v>79</v>
      </c>
      <c r="H6" s="15" t="s">
        <v>160</v>
      </c>
      <c r="I6" s="15" t="s">
        <v>101</v>
      </c>
      <c r="J6" s="15" t="s">
        <v>123</v>
      </c>
      <c r="K6" s="15" t="s">
        <v>131</v>
      </c>
      <c r="L6" s="15" t="s">
        <v>153</v>
      </c>
      <c r="M6" s="15" t="s">
        <v>157</v>
      </c>
      <c r="N6" s="15"/>
    </row>
    <row r="7" spans="1:14" x14ac:dyDescent="0.2">
      <c r="A7" s="13" t="s">
        <v>29</v>
      </c>
      <c r="B7" s="15" t="s">
        <v>41</v>
      </c>
      <c r="C7" s="15" t="s">
        <v>48</v>
      </c>
      <c r="D7" s="15" t="s">
        <v>214</v>
      </c>
      <c r="E7" s="15" t="s">
        <v>66</v>
      </c>
      <c r="F7" s="15" t="s">
        <v>73</v>
      </c>
      <c r="G7" s="72" t="s">
        <v>182</v>
      </c>
      <c r="H7" s="15"/>
      <c r="I7" s="15" t="s">
        <v>102</v>
      </c>
      <c r="J7" s="15" t="s">
        <v>124</v>
      </c>
      <c r="K7" s="15" t="s">
        <v>162</v>
      </c>
      <c r="L7" s="15" t="s">
        <v>143</v>
      </c>
      <c r="M7" s="15" t="s">
        <v>149</v>
      </c>
      <c r="N7" s="15"/>
    </row>
    <row r="8" spans="1:14" x14ac:dyDescent="0.2">
      <c r="A8" s="13" t="s">
        <v>31</v>
      </c>
      <c r="B8" s="15" t="s">
        <v>42</v>
      </c>
      <c r="C8" s="15" t="s">
        <v>166</v>
      </c>
      <c r="D8" s="15" t="s">
        <v>55</v>
      </c>
      <c r="E8" s="15" t="s">
        <v>67</v>
      </c>
      <c r="F8" s="15" t="s">
        <v>74</v>
      </c>
      <c r="G8" s="15" t="s">
        <v>80</v>
      </c>
      <c r="H8" s="15"/>
      <c r="I8" s="15" t="s">
        <v>103</v>
      </c>
      <c r="J8" s="15" t="s">
        <v>125</v>
      </c>
      <c r="K8" s="15" t="s">
        <v>132</v>
      </c>
      <c r="L8" s="15" t="s">
        <v>144</v>
      </c>
      <c r="M8" s="15"/>
      <c r="N8" s="15"/>
    </row>
    <row r="9" spans="1:14" x14ac:dyDescent="0.2">
      <c r="A9" s="13" t="s">
        <v>117</v>
      </c>
      <c r="B9" s="15" t="s">
        <v>43</v>
      </c>
      <c r="C9" s="15" t="s">
        <v>49</v>
      </c>
      <c r="D9" s="15"/>
      <c r="E9" s="15" t="s">
        <v>216</v>
      </c>
      <c r="F9" s="15"/>
      <c r="G9" s="15" t="s">
        <v>81</v>
      </c>
      <c r="H9" s="15"/>
      <c r="I9" s="15" t="s">
        <v>104</v>
      </c>
      <c r="J9" s="15" t="s">
        <v>126</v>
      </c>
      <c r="K9" s="15" t="s">
        <v>133</v>
      </c>
      <c r="L9" s="15" t="s">
        <v>145</v>
      </c>
      <c r="M9" s="15"/>
      <c r="N9" s="15"/>
    </row>
    <row r="10" spans="1:14" x14ac:dyDescent="0.2">
      <c r="A10" s="16" t="s">
        <v>116</v>
      </c>
      <c r="B10" s="15" t="s">
        <v>167</v>
      </c>
      <c r="C10" s="15" t="s">
        <v>50</v>
      </c>
      <c r="D10" s="15"/>
      <c r="E10" s="15" t="s">
        <v>217</v>
      </c>
      <c r="F10" s="15"/>
      <c r="G10" s="15" t="s">
        <v>82</v>
      </c>
      <c r="H10" s="15"/>
      <c r="I10" s="15" t="s">
        <v>105</v>
      </c>
      <c r="J10" s="15" t="s">
        <v>127</v>
      </c>
      <c r="K10" s="15" t="s">
        <v>134</v>
      </c>
      <c r="L10" s="15" t="s">
        <v>146</v>
      </c>
      <c r="M10" s="15"/>
      <c r="N10" s="15"/>
    </row>
    <row r="11" spans="1:14" x14ac:dyDescent="0.2">
      <c r="A11" s="13" t="s">
        <v>32</v>
      </c>
      <c r="B11" s="15" t="s">
        <v>212</v>
      </c>
      <c r="C11" s="15" t="s">
        <v>215</v>
      </c>
      <c r="D11" s="15"/>
      <c r="E11" s="15" t="s">
        <v>68</v>
      </c>
      <c r="F11" s="15"/>
      <c r="G11" s="15" t="s">
        <v>83</v>
      </c>
      <c r="H11" s="15"/>
      <c r="I11" s="15" t="s">
        <v>106</v>
      </c>
      <c r="J11" s="15"/>
      <c r="K11" s="15" t="s">
        <v>135</v>
      </c>
      <c r="L11" s="15" t="s">
        <v>159</v>
      </c>
      <c r="M11" s="15"/>
      <c r="N11" s="15"/>
    </row>
    <row r="12" spans="1:14" x14ac:dyDescent="0.2">
      <c r="A12" s="13" t="s">
        <v>33</v>
      </c>
      <c r="B12" s="15" t="s">
        <v>44</v>
      </c>
      <c r="C12" s="15" t="s">
        <v>213</v>
      </c>
      <c r="D12" s="15"/>
      <c r="E12" s="15"/>
      <c r="F12" s="15"/>
      <c r="G12" s="15" t="s">
        <v>84</v>
      </c>
      <c r="H12" s="15"/>
      <c r="I12" s="15" t="s">
        <v>107</v>
      </c>
      <c r="J12" s="15"/>
      <c r="K12" s="15" t="s">
        <v>136</v>
      </c>
      <c r="L12" s="15" t="s">
        <v>178</v>
      </c>
      <c r="M12" s="15"/>
      <c r="N12" s="15"/>
    </row>
    <row r="13" spans="1:14" x14ac:dyDescent="0.2">
      <c r="A13" s="13" t="s">
        <v>34</v>
      </c>
      <c r="B13" s="15"/>
      <c r="C13" s="15" t="s">
        <v>51</v>
      </c>
      <c r="D13" s="15"/>
      <c r="E13" s="15"/>
      <c r="F13" s="15"/>
      <c r="G13" s="15" t="s">
        <v>85</v>
      </c>
      <c r="H13" s="15"/>
      <c r="I13" s="15" t="s">
        <v>210</v>
      </c>
      <c r="J13" s="15"/>
      <c r="K13" s="15" t="s">
        <v>137</v>
      </c>
      <c r="L13" s="15" t="s">
        <v>147</v>
      </c>
      <c r="M13" s="15"/>
      <c r="N13" s="15"/>
    </row>
    <row r="14" spans="1:14" x14ac:dyDescent="0.2">
      <c r="A14" s="13" t="s">
        <v>35</v>
      </c>
      <c r="B14" s="15"/>
      <c r="C14" s="15"/>
      <c r="D14" s="15"/>
      <c r="E14" s="15"/>
      <c r="F14" s="15"/>
      <c r="G14" s="15" t="s">
        <v>86</v>
      </c>
      <c r="H14" s="15"/>
      <c r="I14" s="15" t="s">
        <v>165</v>
      </c>
      <c r="J14" s="15"/>
      <c r="K14" s="15"/>
      <c r="L14" s="15" t="s">
        <v>152</v>
      </c>
      <c r="M14" s="15"/>
      <c r="N14" s="15"/>
    </row>
    <row r="15" spans="1:14" x14ac:dyDescent="0.2">
      <c r="A15" s="13"/>
      <c r="B15" s="15"/>
      <c r="C15" s="15"/>
      <c r="D15" s="15"/>
      <c r="E15" s="15"/>
      <c r="F15" s="15"/>
      <c r="G15" s="15" t="s">
        <v>87</v>
      </c>
      <c r="H15" s="15"/>
      <c r="I15" s="15" t="s">
        <v>108</v>
      </c>
      <c r="J15" s="15"/>
      <c r="K15" s="15"/>
      <c r="L15" s="15"/>
      <c r="M15" s="15"/>
      <c r="N15" s="15"/>
    </row>
    <row r="16" spans="1:14" x14ac:dyDescent="0.2">
      <c r="A16" s="13"/>
      <c r="B16" s="15"/>
      <c r="C16" s="15"/>
      <c r="D16" s="15"/>
      <c r="E16" s="15"/>
      <c r="F16" s="15"/>
      <c r="G16" s="15" t="s">
        <v>88</v>
      </c>
      <c r="H16" s="15"/>
      <c r="I16" s="15" t="s">
        <v>109</v>
      </c>
      <c r="J16" s="15"/>
      <c r="K16" s="15"/>
      <c r="L16" s="15"/>
      <c r="M16" s="15"/>
      <c r="N16" s="15"/>
    </row>
    <row r="17" spans="2:14" x14ac:dyDescent="0.2">
      <c r="B17" s="15"/>
      <c r="C17" s="15"/>
      <c r="D17" s="15"/>
      <c r="E17" s="15"/>
      <c r="F17" s="15"/>
      <c r="G17" s="15" t="s">
        <v>89</v>
      </c>
      <c r="H17" s="15"/>
      <c r="I17" s="15" t="s">
        <v>110</v>
      </c>
      <c r="J17" s="15"/>
      <c r="K17" s="15"/>
      <c r="L17" s="15"/>
      <c r="M17" s="15"/>
      <c r="N17" s="15"/>
    </row>
    <row r="18" spans="2:14" x14ac:dyDescent="0.2">
      <c r="B18" s="15"/>
      <c r="C18" s="15"/>
      <c r="D18" s="15"/>
      <c r="E18" s="15"/>
      <c r="F18" s="15"/>
      <c r="G18" s="15" t="s">
        <v>56</v>
      </c>
      <c r="H18" s="15"/>
      <c r="I18" s="15"/>
      <c r="J18" s="15"/>
      <c r="K18" s="15"/>
      <c r="L18" s="15"/>
      <c r="M18" s="15"/>
      <c r="N18" s="15"/>
    </row>
    <row r="19" spans="2:14" x14ac:dyDescent="0.2">
      <c r="B19" s="15"/>
      <c r="C19" s="15"/>
      <c r="D19" s="15"/>
      <c r="E19" s="15"/>
      <c r="F19" s="15"/>
      <c r="G19" s="15" t="s">
        <v>90</v>
      </c>
      <c r="H19" s="15"/>
      <c r="I19" s="15"/>
      <c r="J19" s="15"/>
      <c r="K19" s="15"/>
      <c r="L19" s="15"/>
      <c r="M19" s="15"/>
      <c r="N19" s="15"/>
    </row>
    <row r="20" spans="2:14" x14ac:dyDescent="0.2">
      <c r="B20" s="15"/>
      <c r="C20" s="15"/>
      <c r="D20" s="15"/>
      <c r="E20" s="15"/>
      <c r="F20" s="15"/>
      <c r="G20" s="15" t="s">
        <v>91</v>
      </c>
      <c r="H20" s="15"/>
      <c r="I20" s="15"/>
      <c r="J20" s="15"/>
      <c r="K20" s="15"/>
      <c r="L20" s="15"/>
      <c r="M20" s="15"/>
      <c r="N20" s="15"/>
    </row>
    <row r="21" spans="2:14" x14ac:dyDescent="0.2">
      <c r="B21" s="15"/>
      <c r="C21" s="15"/>
      <c r="D21" s="15"/>
      <c r="E21" s="15"/>
      <c r="F21" s="15"/>
      <c r="G21" s="15" t="s">
        <v>92</v>
      </c>
      <c r="H21" s="15"/>
      <c r="I21" s="15"/>
      <c r="J21" s="15"/>
      <c r="K21" s="15"/>
      <c r="L21" s="15"/>
      <c r="M21" s="15"/>
      <c r="N21" s="15"/>
    </row>
    <row r="22" spans="2:14" x14ac:dyDescent="0.2">
      <c r="B22" s="15"/>
      <c r="C22" s="15"/>
      <c r="D22" s="15"/>
      <c r="E22" s="15"/>
      <c r="F22" s="15"/>
      <c r="G22" s="15" t="s">
        <v>93</v>
      </c>
      <c r="H22" s="15"/>
      <c r="I22" s="15"/>
      <c r="J22" s="15"/>
      <c r="K22" s="15"/>
      <c r="L22" s="15"/>
      <c r="M22" s="15"/>
      <c r="N22" s="15"/>
    </row>
    <row r="23" spans="2:14" x14ac:dyDescent="0.2">
      <c r="B23" s="15"/>
      <c r="C23" s="15"/>
      <c r="D23" s="15"/>
      <c r="E23" s="15"/>
      <c r="F23" s="15"/>
      <c r="G23" s="15" t="s">
        <v>94</v>
      </c>
      <c r="H23" s="15"/>
      <c r="I23" s="15"/>
      <c r="J23" s="15"/>
      <c r="K23" s="15"/>
      <c r="L23" s="15"/>
      <c r="M23" s="15"/>
      <c r="N23" s="15"/>
    </row>
    <row r="24" spans="2:14" x14ac:dyDescent="0.2">
      <c r="B24" s="15"/>
      <c r="C24" s="15"/>
      <c r="D24" s="15"/>
      <c r="E24" s="15"/>
      <c r="F24" s="15"/>
      <c r="G24" s="15" t="s">
        <v>95</v>
      </c>
      <c r="H24" s="15"/>
      <c r="I24" s="15"/>
      <c r="J24" s="15"/>
      <c r="K24" s="15"/>
      <c r="L24" s="15"/>
      <c r="M24" s="15"/>
      <c r="N24" s="15"/>
    </row>
    <row r="25" spans="2:14" x14ac:dyDescent="0.2">
      <c r="B25" s="15"/>
      <c r="C25" s="15"/>
      <c r="D25" s="15"/>
      <c r="E25" s="15"/>
      <c r="F25" s="15"/>
      <c r="G25" s="15" t="s">
        <v>96</v>
      </c>
      <c r="H25" s="15"/>
      <c r="I25" s="15"/>
      <c r="J25" s="15"/>
      <c r="K25" s="15"/>
      <c r="L25" s="15"/>
      <c r="M25" s="15"/>
      <c r="N25" s="15"/>
    </row>
    <row r="26" spans="2:14" x14ac:dyDescent="0.2">
      <c r="B26" s="15"/>
      <c r="C26" s="15"/>
      <c r="D26" s="15"/>
      <c r="E26" s="15"/>
      <c r="F26" s="15"/>
      <c r="G26" s="15" t="s">
        <v>97</v>
      </c>
      <c r="H26" s="15"/>
      <c r="I26" s="15"/>
      <c r="J26" s="15"/>
      <c r="K26" s="15"/>
      <c r="L26" s="15"/>
      <c r="M26" s="15"/>
      <c r="N26" s="15"/>
    </row>
    <row r="27" spans="2:14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</row>
    <row r="28" spans="2:14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</row>
  </sheetData>
  <sheetProtection sheet="1" objects="1" scenarios="1" selectLockedCells="1" selectUnlockedCells="1"/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M41"/>
  <sheetViews>
    <sheetView showGridLines="0" showZeros="0" tabSelected="1" zoomScale="85" zoomScaleNormal="85" zoomScaleSheetLayoutView="100" workbookViewId="0">
      <selection activeCell="E7" sqref="E7:H7"/>
    </sheetView>
  </sheetViews>
  <sheetFormatPr baseColWidth="10" defaultColWidth="11.42578125" defaultRowHeight="15.75" x14ac:dyDescent="0.25"/>
  <cols>
    <col min="1" max="1" width="31.5703125" style="17" customWidth="1"/>
    <col min="2" max="12" width="14.7109375" style="17" customWidth="1"/>
    <col min="13" max="16384" width="11.42578125" style="17"/>
  </cols>
  <sheetData>
    <row r="1" spans="1:12" ht="99.75" customHeigh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</row>
    <row r="2" spans="1:12" ht="3" customHeight="1" x14ac:dyDescent="0.4">
      <c r="A2" s="141"/>
      <c r="B2" s="141"/>
      <c r="C2" s="42"/>
      <c r="D2" s="40"/>
      <c r="G2" s="41"/>
      <c r="H2" s="142"/>
      <c r="I2" s="142"/>
      <c r="J2" s="142"/>
      <c r="K2" s="41"/>
      <c r="L2" s="41"/>
    </row>
    <row r="3" spans="1:12" ht="6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s="19" customFormat="1" ht="26.25" x14ac:dyDescent="0.3">
      <c r="A4" s="143" t="str">
        <f>+Datos!A41</f>
        <v>MARZO 2024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1:12" s="19" customFormat="1" ht="16.5" x14ac:dyDescent="0.3">
      <c r="A5" s="20"/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</row>
    <row r="6" spans="1:12" s="19" customFormat="1" ht="20.100000000000001" customHeight="1" x14ac:dyDescent="0.3">
      <c r="A6" s="45"/>
      <c r="B6" s="137" t="s">
        <v>36</v>
      </c>
      <c r="C6" s="137"/>
      <c r="D6" s="137"/>
      <c r="E6" s="139" t="s">
        <v>30</v>
      </c>
      <c r="F6" s="139"/>
      <c r="G6" s="139"/>
      <c r="H6" s="139"/>
      <c r="I6" s="46"/>
      <c r="J6" s="138"/>
      <c r="K6" s="138"/>
      <c r="L6" s="47"/>
    </row>
    <row r="7" spans="1:12" s="19" customFormat="1" ht="20.100000000000001" customHeight="1" x14ac:dyDescent="0.3">
      <c r="A7" s="45"/>
      <c r="B7" s="137" t="s">
        <v>37</v>
      </c>
      <c r="C7" s="137"/>
      <c r="D7" s="137"/>
      <c r="E7" s="140" t="s">
        <v>49</v>
      </c>
      <c r="F7" s="140"/>
      <c r="G7" s="140"/>
      <c r="H7" s="140"/>
      <c r="I7" s="45"/>
      <c r="J7" s="45"/>
      <c r="K7" s="45"/>
      <c r="L7" s="47"/>
    </row>
    <row r="8" spans="1:12" s="19" customFormat="1" ht="20.100000000000001" customHeight="1" x14ac:dyDescent="0.3">
      <c r="A8" s="65"/>
      <c r="B8" s="137" t="s">
        <v>211</v>
      </c>
      <c r="C8" s="137"/>
      <c r="D8" s="137"/>
      <c r="E8" s="140" t="s">
        <v>111</v>
      </c>
      <c r="F8" s="140"/>
      <c r="G8" s="140"/>
      <c r="H8" s="140"/>
      <c r="I8" s="45"/>
      <c r="J8" s="45"/>
      <c r="K8" s="45"/>
      <c r="L8" s="47"/>
    </row>
    <row r="9" spans="1:12" s="19" customFormat="1" ht="20.100000000000001" customHeight="1" x14ac:dyDescent="0.3">
      <c r="A9" s="65"/>
      <c r="B9" s="137" t="s">
        <v>169</v>
      </c>
      <c r="C9" s="137"/>
      <c r="D9" s="137"/>
      <c r="E9" s="139" t="s">
        <v>112</v>
      </c>
      <c r="F9" s="139"/>
      <c r="G9" s="139"/>
      <c r="H9" s="139"/>
      <c r="I9" s="45"/>
      <c r="J9" s="45"/>
      <c r="K9" s="45"/>
      <c r="L9" s="47"/>
    </row>
    <row r="10" spans="1:12" s="19" customFormat="1" ht="20.100000000000001" customHeight="1" x14ac:dyDescent="0.3">
      <c r="A10" s="65"/>
      <c r="B10" s="137" t="s">
        <v>170</v>
      </c>
      <c r="C10" s="137"/>
      <c r="D10" s="137"/>
      <c r="E10" s="140">
        <v>1</v>
      </c>
      <c r="F10" s="140"/>
      <c r="G10" s="140"/>
      <c r="H10" s="140"/>
      <c r="I10" s="45"/>
      <c r="J10" s="45"/>
      <c r="K10" s="45"/>
      <c r="L10" s="47"/>
    </row>
    <row r="11" spans="1:12" s="19" customFormat="1" ht="19.5" customHeight="1" x14ac:dyDescent="0.3">
      <c r="A11" s="65"/>
      <c r="B11" s="137" t="s">
        <v>177</v>
      </c>
      <c r="C11" s="137"/>
      <c r="D11" s="137"/>
      <c r="E11" s="139">
        <v>6</v>
      </c>
      <c r="F11" s="139"/>
      <c r="G11" s="139"/>
      <c r="H11" s="139"/>
      <c r="I11" s="45"/>
      <c r="J11" s="45"/>
      <c r="K11" s="45"/>
      <c r="L11" s="47"/>
    </row>
    <row r="12" spans="1:12" s="19" customFormat="1" ht="16.5" x14ac:dyDescent="0.3">
      <c r="A12" s="48"/>
      <c r="B12" s="48"/>
      <c r="C12" s="48"/>
      <c r="D12" s="48"/>
      <c r="E12" s="48"/>
      <c r="F12" s="45"/>
      <c r="G12" s="45"/>
      <c r="H12" s="45"/>
      <c r="I12" s="45"/>
      <c r="J12" s="45"/>
      <c r="K12" s="45"/>
      <c r="L12" s="47"/>
    </row>
    <row r="13" spans="1:12" s="19" customFormat="1" ht="16.149999999999999" customHeight="1" x14ac:dyDescent="0.3">
      <c r="A13" s="45"/>
      <c r="B13" s="148" t="s">
        <v>172</v>
      </c>
      <c r="C13" s="148"/>
      <c r="D13" s="148"/>
      <c r="E13" s="149">
        <f>+VLOOKUP($E$7,Indices!$A$1:$D$503,4,FALSE)</f>
        <v>1135</v>
      </c>
      <c r="F13" s="149"/>
      <c r="G13" s="149"/>
      <c r="H13" s="49"/>
      <c r="I13" s="49"/>
      <c r="J13" s="50"/>
      <c r="K13" s="45"/>
      <c r="L13" s="47"/>
    </row>
    <row r="14" spans="1:12" s="19" customFormat="1" ht="16.149999999999999" customHeight="1" x14ac:dyDescent="0.35">
      <c r="A14" s="45"/>
      <c r="B14" s="148" t="s">
        <v>119</v>
      </c>
      <c r="C14" s="148"/>
      <c r="D14" s="148"/>
      <c r="E14" s="146">
        <f>+VLOOKUP($E$7,Indices!$A$1:$C$503,2,FALSE)</f>
        <v>845</v>
      </c>
      <c r="F14" s="146"/>
      <c r="G14" s="146"/>
      <c r="H14" s="49"/>
      <c r="I14" s="49"/>
      <c r="J14" s="50"/>
      <c r="K14" s="45"/>
      <c r="L14" s="47"/>
    </row>
    <row r="15" spans="1:12" s="19" customFormat="1" ht="16.149999999999999" customHeight="1" x14ac:dyDescent="0.3">
      <c r="A15" s="45"/>
      <c r="B15" s="148" t="s">
        <v>151</v>
      </c>
      <c r="C15" s="148"/>
      <c r="D15" s="148"/>
      <c r="E15" s="147">
        <f>+Datos!B2</f>
        <v>107.45</v>
      </c>
      <c r="F15" s="147"/>
      <c r="G15" s="147"/>
      <c r="H15" s="49"/>
      <c r="I15" s="49"/>
      <c r="J15" s="50"/>
      <c r="K15" s="45"/>
      <c r="L15" s="47"/>
    </row>
    <row r="16" spans="1:12" s="19" customFormat="1" ht="16.149999999999999" customHeight="1" x14ac:dyDescent="0.35">
      <c r="A16" s="48"/>
      <c r="B16" s="148" t="s">
        <v>16</v>
      </c>
      <c r="C16" s="148"/>
      <c r="D16" s="148"/>
      <c r="E16" s="146">
        <f>+IF(E9="SI",2+IF(E8="SI",Datos!B34,Datos!B35),IF(E8="SI",Datos!B34,Datos!B35))</f>
        <v>23.5</v>
      </c>
      <c r="F16" s="146"/>
      <c r="G16" s="146"/>
      <c r="H16" s="47"/>
      <c r="I16" s="47"/>
      <c r="J16" s="47"/>
      <c r="K16" s="47"/>
      <c r="L16" s="47"/>
    </row>
    <row r="17" spans="1:13" s="19" customFormat="1" ht="15.75" customHeight="1" x14ac:dyDescent="0.3">
      <c r="A17" s="48"/>
      <c r="B17" s="148" t="s">
        <v>233</v>
      </c>
      <c r="C17" s="148"/>
      <c r="D17" s="148"/>
      <c r="E17" s="149">
        <f>+Datos!B36</f>
        <v>1471616.1</v>
      </c>
      <c r="F17" s="149"/>
      <c r="G17" s="149"/>
      <c r="H17" s="47"/>
      <c r="I17" s="47"/>
      <c r="J17" s="47"/>
      <c r="K17" s="47"/>
      <c r="L17" s="47"/>
    </row>
    <row r="18" spans="1:13" s="19" customFormat="1" ht="16.5" x14ac:dyDescent="0.3">
      <c r="A18" s="51"/>
      <c r="B18" s="51"/>
      <c r="C18" s="51"/>
      <c r="D18" s="51"/>
      <c r="E18" s="51"/>
      <c r="F18" s="51"/>
      <c r="G18" s="51"/>
      <c r="H18" s="51"/>
      <c r="I18" s="52"/>
      <c r="J18" s="52"/>
      <c r="K18" s="52"/>
      <c r="L18" s="52"/>
    </row>
    <row r="19" spans="1:13" s="23" customFormat="1" ht="16.5" x14ac:dyDescent="0.3">
      <c r="A19" s="53"/>
      <c r="B19" s="55" t="s">
        <v>0</v>
      </c>
      <c r="C19" s="56" t="s">
        <v>1</v>
      </c>
      <c r="D19" s="56" t="s">
        <v>2</v>
      </c>
      <c r="E19" s="56" t="s">
        <v>3</v>
      </c>
      <c r="F19" s="56" t="s">
        <v>4</v>
      </c>
      <c r="G19" s="56" t="s">
        <v>5</v>
      </c>
      <c r="H19" s="56" t="s">
        <v>6</v>
      </c>
      <c r="I19" s="57" t="s">
        <v>7</v>
      </c>
      <c r="J19" s="57" t="s">
        <v>8</v>
      </c>
      <c r="K19" s="57" t="s">
        <v>9</v>
      </c>
      <c r="L19" s="58" t="s">
        <v>10</v>
      </c>
    </row>
    <row r="20" spans="1:13" s="19" customFormat="1" ht="16.5" x14ac:dyDescent="0.3">
      <c r="A20" s="54"/>
      <c r="B20" s="59"/>
      <c r="C20" s="77">
        <v>0.3</v>
      </c>
      <c r="D20" s="77">
        <v>0.4</v>
      </c>
      <c r="E20" s="77">
        <v>0.5</v>
      </c>
      <c r="F20" s="77">
        <v>0.6</v>
      </c>
      <c r="G20" s="77">
        <v>0.7</v>
      </c>
      <c r="H20" s="77">
        <v>0.8</v>
      </c>
      <c r="I20" s="78">
        <v>0.9</v>
      </c>
      <c r="J20" s="78">
        <v>1</v>
      </c>
      <c r="K20" s="78">
        <v>1.1000000000000001</v>
      </c>
      <c r="L20" s="79">
        <v>1.2</v>
      </c>
    </row>
    <row r="21" spans="1:13" s="19" customFormat="1" ht="16.5" x14ac:dyDescent="0.3">
      <c r="A21" s="66" t="s">
        <v>168</v>
      </c>
      <c r="B21" s="60">
        <f>IF(CODE($E$7)=72,$E$10*$E$13*Datos!$B$2,$E$13*Datos!$B$2)</f>
        <v>121955.75</v>
      </c>
      <c r="C21" s="61">
        <f>IF(CODE($E$7)=72,$E$10*$E$13*Datos!$B$2,$E$13*Datos!$B$2)</f>
        <v>121955.75</v>
      </c>
      <c r="D21" s="61">
        <f>IF(CODE($E$7)=72,$E$10*$E$13*Datos!$B$2,$E$13*Datos!$B$2)</f>
        <v>121955.75</v>
      </c>
      <c r="E21" s="61">
        <f>IF(CODE($E$7)=72,$E$10*$E$13*Datos!$B$2,$E$13*Datos!$B$2)</f>
        <v>121955.75</v>
      </c>
      <c r="F21" s="61">
        <f>IF(CODE($E$7)=72,$E$10*$E$13*Datos!$B$2,$E$13*Datos!$B$2)</f>
        <v>121955.75</v>
      </c>
      <c r="G21" s="61">
        <f>IF(CODE($E$7)=72,$E$10*$E$13*Datos!$B$2,$E$13*Datos!$B$2)</f>
        <v>121955.75</v>
      </c>
      <c r="H21" s="61">
        <f>IF(CODE($E$7)=72,$E$10*$E$13*Datos!$B$2,$E$13*Datos!$B$2)</f>
        <v>121955.75</v>
      </c>
      <c r="I21" s="61">
        <f>IF(CODE($E$7)=72,$E$10*$E$13*Datos!$B$2,$E$13*Datos!$B$2)</f>
        <v>121955.75</v>
      </c>
      <c r="J21" s="61">
        <f>IF(CODE($E$7)=72,$E$10*$E$13*Datos!$B$2,$E$13*Datos!$B$2)</f>
        <v>121955.75</v>
      </c>
      <c r="K21" s="61">
        <f>IF(CODE($E$7)=72,$E$10*$E$13*Datos!$B$2,$E$13*Datos!$B$2)</f>
        <v>121955.75</v>
      </c>
      <c r="L21" s="62">
        <f>IF(CODE($E$7)=72,$E$10*$E$13*Datos!$B$2,$E$13*Datos!$B$2)</f>
        <v>121955.75</v>
      </c>
    </row>
    <row r="22" spans="1:13" s="19" customFormat="1" ht="16.5" x14ac:dyDescent="0.3">
      <c r="A22" s="67">
        <f>IF(B22&gt;0,IF(OR(E14=6901,E14=6902,E14=6903,E14=6904,E14=6905,E14=6906),"Jerarquización Horizontal","Plus Difer. por Jerarquización"),0)</f>
        <v>0</v>
      </c>
      <c r="B22" s="60">
        <f>B21*0.15*VLOOKUP($E$14,Indices!$B$4:$K$211,9,FALSE)</f>
        <v>0</v>
      </c>
      <c r="C22" s="60">
        <f>C21*0.15*VLOOKUP($E$14,Indices!$B$4:$K$211,9,FALSE)</f>
        <v>0</v>
      </c>
      <c r="D22" s="60">
        <f>D21*0.15*VLOOKUP($E$14,Indices!$B$4:$K$211,9,FALSE)</f>
        <v>0</v>
      </c>
      <c r="E22" s="60">
        <f>E21*0.15*VLOOKUP($E$14,Indices!$B$4:$K$211,9,FALSE)</f>
        <v>0</v>
      </c>
      <c r="F22" s="60">
        <f>F21*0.15*VLOOKUP($E$14,Indices!$B$4:$K$211,9,FALSE)</f>
        <v>0</v>
      </c>
      <c r="G22" s="60">
        <f>G21*0.15*VLOOKUP($E$14,Indices!$B$4:$K$211,9,FALSE)</f>
        <v>0</v>
      </c>
      <c r="H22" s="60">
        <f>H21*0.15*VLOOKUP($E$14,Indices!$B$4:$K$211,9,FALSE)</f>
        <v>0</v>
      </c>
      <c r="I22" s="60">
        <f>I21*0.15*VLOOKUP($E$14,Indices!$B$4:$K$211,9,FALSE)</f>
        <v>0</v>
      </c>
      <c r="J22" s="60">
        <f>J21*0.15*VLOOKUP($E$14,Indices!$B$4:$K$211,9,FALSE)</f>
        <v>0</v>
      </c>
      <c r="K22" s="60">
        <f>K21*0.15*VLOOKUP($E$14,Indices!$B$4:$K$211,9,FALSE)</f>
        <v>0</v>
      </c>
      <c r="L22" s="60">
        <f>L21*0.15*VLOOKUP($E$14,Indices!$B$4:$K$211,9,FALSE)</f>
        <v>0</v>
      </c>
    </row>
    <row r="23" spans="1:13" s="19" customFormat="1" ht="16.5" x14ac:dyDescent="0.3">
      <c r="A23" s="66">
        <f>IF(B23&gt;0,"Plus Difer. por Establecimiento",0)</f>
        <v>0</v>
      </c>
      <c r="B23" s="60">
        <f>B21*$E$11/100*VLOOKUP($E$14,Indices!$B$4:$K$211,10,FALSE)</f>
        <v>0</v>
      </c>
      <c r="C23" s="60">
        <f>C21*$E$11/100*VLOOKUP($E$14,Indices!$B$4:$K$211,10,FALSE)</f>
        <v>0</v>
      </c>
      <c r="D23" s="60">
        <f>D21*$E$11/100*VLOOKUP($E$14,Indices!$B$4:$K$211,10,FALSE)</f>
        <v>0</v>
      </c>
      <c r="E23" s="60">
        <f>E21*$E$11/100*VLOOKUP($E$14,Indices!$B$4:$K$211,10,FALSE)</f>
        <v>0</v>
      </c>
      <c r="F23" s="60">
        <f>F21*$E$11/100*VLOOKUP($E$14,Indices!$B$4:$K$211,10,FALSE)</f>
        <v>0</v>
      </c>
      <c r="G23" s="60">
        <f>G21*$E$11/100*VLOOKUP($E$14,Indices!$B$4:$K$211,10,FALSE)</f>
        <v>0</v>
      </c>
      <c r="H23" s="60">
        <f>H21*$E$11/100*VLOOKUP($E$14,Indices!$B$4:$K$211,10,FALSE)</f>
        <v>0</v>
      </c>
      <c r="I23" s="60">
        <f>I21*$E$11/100*VLOOKUP($E$14,Indices!$B$4:$K$211,10,FALSE)</f>
        <v>0</v>
      </c>
      <c r="J23" s="60">
        <f>J21*$E$11/100*VLOOKUP($E$14,Indices!$B$4:$K$211,10,FALSE)</f>
        <v>0</v>
      </c>
      <c r="K23" s="60">
        <f>K21*$E$11/100*VLOOKUP($E$14,Indices!$B$4:$K$211,10,FALSE)</f>
        <v>0</v>
      </c>
      <c r="L23" s="60">
        <f>L21*$E$11/100*VLOOKUP($E$14,Indices!$B$4:$K$211,10,FALSE)</f>
        <v>0</v>
      </c>
    </row>
    <row r="24" spans="1:13" s="19" customFormat="1" ht="16.5" x14ac:dyDescent="0.3">
      <c r="A24" s="67" t="str">
        <f>+Datos!A39</f>
        <v>Decreto 483/05 y Modif.</v>
      </c>
      <c r="B24" s="60">
        <f>IF(CODE($E$7)=72,$E$10*Datos!$B$5,VLOOKUP($E$14,Indices!$B$3:$N$211,6,FALSE))</f>
        <v>134127</v>
      </c>
      <c r="C24" s="60">
        <f>IF(CODE($E$7)=72,$E$10*Datos!$B$5,VLOOKUP($E$14,Indices!$B$3:$N$211,6,FALSE))</f>
        <v>134127</v>
      </c>
      <c r="D24" s="60">
        <f>IF(CODE($E$7)=72,$E$10*Datos!$B$5,VLOOKUP($E$14,Indices!$B$3:$N$211,6,FALSE))</f>
        <v>134127</v>
      </c>
      <c r="E24" s="60">
        <f>IF(CODE($E$7)=72,$E$10*Datos!$B$5,VLOOKUP($E$14,Indices!$B$3:$N$211,6,FALSE))</f>
        <v>134127</v>
      </c>
      <c r="F24" s="60">
        <f>IF(CODE($E$7)=72,$E$10*Datos!$B$5,VLOOKUP($E$14,Indices!$B$3:$N$211,6,FALSE))</f>
        <v>134127</v>
      </c>
      <c r="G24" s="60">
        <f>IF(CODE($E$7)=72,$E$10*Datos!$B$5,VLOOKUP($E$14,Indices!$B$3:$N$211,6,FALSE))</f>
        <v>134127</v>
      </c>
      <c r="H24" s="60">
        <f>IF(CODE($E$7)=72,$E$10*Datos!$B$5,VLOOKUP($E$14,Indices!$B$3:$N$211,6,FALSE))</f>
        <v>134127</v>
      </c>
      <c r="I24" s="60">
        <f>IF(CODE($E$7)=72,$E$10*Datos!$B$5,VLOOKUP($E$14,Indices!$B$3:$N$211,6,FALSE))</f>
        <v>134127</v>
      </c>
      <c r="J24" s="60">
        <f>IF(CODE($E$7)=72,$E$10*Datos!$B$5,VLOOKUP($E$14,Indices!$B$3:$N$211,6,FALSE))</f>
        <v>134127</v>
      </c>
      <c r="K24" s="60">
        <f>IF(CODE($E$7)=72,$E$10*Datos!$B$5,VLOOKUP($E$14,Indices!$B$3:$N$211,6,FALSE))</f>
        <v>134127</v>
      </c>
      <c r="L24" s="60">
        <f>IF(CODE($E$7)=72,$E$10*Datos!$B$5,VLOOKUP($E$14,Indices!$B$3:$N$211,6,FALSE))</f>
        <v>134127</v>
      </c>
    </row>
    <row r="25" spans="1:13" s="19" customFormat="1" ht="16.5" x14ac:dyDescent="0.3">
      <c r="A25" s="66" t="s">
        <v>11</v>
      </c>
      <c r="B25" s="60">
        <f>SUM(B21:B24)*B20</f>
        <v>0</v>
      </c>
      <c r="C25" s="60">
        <f t="shared" ref="C25:L25" si="0">SUM(C21:C24)*C20</f>
        <v>76824.83</v>
      </c>
      <c r="D25" s="60">
        <f t="shared" si="0"/>
        <v>102433.1</v>
      </c>
      <c r="E25" s="60">
        <f t="shared" si="0"/>
        <v>128041.38</v>
      </c>
      <c r="F25" s="60">
        <f t="shared" si="0"/>
        <v>153649.65</v>
      </c>
      <c r="G25" s="60">
        <f t="shared" si="0"/>
        <v>179257.93</v>
      </c>
      <c r="H25" s="60">
        <f t="shared" si="0"/>
        <v>204866.2</v>
      </c>
      <c r="I25" s="60">
        <f t="shared" si="0"/>
        <v>230474.48</v>
      </c>
      <c r="J25" s="60">
        <f t="shared" si="0"/>
        <v>256082.75</v>
      </c>
      <c r="K25" s="60">
        <f t="shared" si="0"/>
        <v>281691.03000000003</v>
      </c>
      <c r="L25" s="60">
        <f t="shared" si="0"/>
        <v>307299.3</v>
      </c>
    </row>
    <row r="26" spans="1:13" s="19" customFormat="1" ht="16.5" x14ac:dyDescent="0.3">
      <c r="A26" s="67" t="s">
        <v>150</v>
      </c>
      <c r="B26" s="60">
        <f>SUM(B21:B24)*10%</f>
        <v>25608.28</v>
      </c>
      <c r="C26" s="61">
        <f t="shared" ref="C26:L26" si="1">SUM(C21:C24)*10%</f>
        <v>25608.28</v>
      </c>
      <c r="D26" s="61">
        <f t="shared" si="1"/>
        <v>25608.28</v>
      </c>
      <c r="E26" s="61">
        <f t="shared" si="1"/>
        <v>25608.28</v>
      </c>
      <c r="F26" s="61">
        <f t="shared" si="1"/>
        <v>25608.28</v>
      </c>
      <c r="G26" s="61">
        <f t="shared" si="1"/>
        <v>25608.28</v>
      </c>
      <c r="H26" s="61">
        <f t="shared" si="1"/>
        <v>25608.28</v>
      </c>
      <c r="I26" s="61">
        <f t="shared" si="1"/>
        <v>25608.28</v>
      </c>
      <c r="J26" s="61">
        <f t="shared" si="1"/>
        <v>25608.28</v>
      </c>
      <c r="K26" s="61">
        <f t="shared" si="1"/>
        <v>25608.28</v>
      </c>
      <c r="L26" s="62">
        <f t="shared" si="1"/>
        <v>25608.28</v>
      </c>
    </row>
    <row r="27" spans="1:13" s="19" customFormat="1" ht="16.5" x14ac:dyDescent="0.3">
      <c r="A27" s="66">
        <f>IF(B27&gt;0,"Complemento Art. 128º",0)</f>
        <v>0</v>
      </c>
      <c r="B27" s="60">
        <f t="shared" ref="B27:L27" si="2">IF(ISERROR(FIND("Especial",$E$6,1))=FALSE,(B21+B22+B23+B24)*0.15,0)</f>
        <v>0</v>
      </c>
      <c r="C27" s="61">
        <f t="shared" si="2"/>
        <v>0</v>
      </c>
      <c r="D27" s="61">
        <f t="shared" si="2"/>
        <v>0</v>
      </c>
      <c r="E27" s="61">
        <f t="shared" si="2"/>
        <v>0</v>
      </c>
      <c r="F27" s="61">
        <f t="shared" si="2"/>
        <v>0</v>
      </c>
      <c r="G27" s="61">
        <f t="shared" si="2"/>
        <v>0</v>
      </c>
      <c r="H27" s="61">
        <f t="shared" si="2"/>
        <v>0</v>
      </c>
      <c r="I27" s="61">
        <f t="shared" si="2"/>
        <v>0</v>
      </c>
      <c r="J27" s="61">
        <f t="shared" si="2"/>
        <v>0</v>
      </c>
      <c r="K27" s="61">
        <f t="shared" si="2"/>
        <v>0</v>
      </c>
      <c r="L27" s="62">
        <f t="shared" si="2"/>
        <v>0</v>
      </c>
    </row>
    <row r="28" spans="1:13" s="19" customFormat="1" ht="16.5" x14ac:dyDescent="0.3">
      <c r="A28" s="67" t="str">
        <f>+Datos!A45</f>
        <v>Material Didáctico R</v>
      </c>
      <c r="B28" s="60"/>
      <c r="C28" s="61"/>
      <c r="D28" s="61"/>
      <c r="E28" s="61">
        <f>IF(CODE($E$7)=72,$E$10*Datos!$B$11,VLOOKUP($E$14,Indices!$B$3:$N$211,8,FALSE))</f>
        <v>116361</v>
      </c>
      <c r="F28" s="61">
        <f>IF(CODE($E$7)=72,$E$10*Datos!$B$11,VLOOKUP($E$14,Indices!$B$3:$N$211,8,FALSE))</f>
        <v>116361</v>
      </c>
      <c r="G28" s="61">
        <f>IF(CODE($E$7)=72,$E$10*Datos!$B$11,VLOOKUP($E$14,Indices!$B$3:$N$211,8,FALSE))</f>
        <v>116361</v>
      </c>
      <c r="H28" s="61">
        <f>IF(CODE($E$7)=72,$E$10*Datos!$B$11,VLOOKUP($E$14,Indices!$B$3:$N$211,8,FALSE))</f>
        <v>116361</v>
      </c>
      <c r="I28" s="61">
        <f>IF(CODE($E$7)=72,$E$10*Datos!$B$11,VLOOKUP($E$14,Indices!$B$3:$N$211,8,FALSE))</f>
        <v>116361</v>
      </c>
      <c r="J28" s="61">
        <f>IF(CODE($E$7)=72,$E$10*Datos!$B$11,VLOOKUP($E$14,Indices!$B$3:$N$211,8,FALSE))</f>
        <v>116361</v>
      </c>
      <c r="K28" s="61">
        <f>IF(CODE($E$7)=72,$E$10*Datos!$B$11,VLOOKUP($E$14,Indices!$B$3:$N$211,8,FALSE))</f>
        <v>116361</v>
      </c>
      <c r="L28" s="61">
        <f>IF(CODE($E$7)=72,$E$10*Datos!$B$11,VLOOKUP($E$14,Indices!$B$3:$N$211,8,FALSE))</f>
        <v>116361</v>
      </c>
    </row>
    <row r="29" spans="1:13" s="19" customFormat="1" ht="16.5" x14ac:dyDescent="0.3">
      <c r="A29" s="68" t="s">
        <v>12</v>
      </c>
      <c r="B29" s="69">
        <f t="shared" ref="B29:L29" si="3">SUM(B21:B28)</f>
        <v>281691.03000000003</v>
      </c>
      <c r="C29" s="70">
        <f t="shared" si="3"/>
        <v>358515.86</v>
      </c>
      <c r="D29" s="70">
        <f t="shared" si="3"/>
        <v>384124.13</v>
      </c>
      <c r="E29" s="70">
        <f t="shared" si="3"/>
        <v>526093.41</v>
      </c>
      <c r="F29" s="70">
        <f t="shared" si="3"/>
        <v>551701.68000000005</v>
      </c>
      <c r="G29" s="70">
        <f t="shared" si="3"/>
        <v>577309.96</v>
      </c>
      <c r="H29" s="70">
        <f t="shared" si="3"/>
        <v>602918.23</v>
      </c>
      <c r="I29" s="70">
        <f t="shared" si="3"/>
        <v>628526.51</v>
      </c>
      <c r="J29" s="70">
        <f t="shared" si="3"/>
        <v>654134.78</v>
      </c>
      <c r="K29" s="70">
        <f t="shared" si="3"/>
        <v>679743.06</v>
      </c>
      <c r="L29" s="71">
        <f t="shared" si="3"/>
        <v>705351.33</v>
      </c>
      <c r="M29" s="43"/>
    </row>
    <row r="30" spans="1:13" s="19" customFormat="1" ht="16.5" x14ac:dyDescent="0.3">
      <c r="A30" s="67" t="str">
        <f>+Datos!A44</f>
        <v>Material Didáctico</v>
      </c>
      <c r="B30" s="60">
        <f>IF(CODE($E$7)=72,$E$10*Datos!$B$8,VLOOKUP($E$14,Indices!$B$3:$N$211,7,FALSE))</f>
        <v>93905</v>
      </c>
      <c r="C30" s="60">
        <f>IF(CODE($E$7)=72,$E$10*Datos!$B$8,VLOOKUP($E$14,Indices!$B$3:$N$211,7,FALSE))</f>
        <v>93905</v>
      </c>
      <c r="D30" s="60">
        <f>IF(CODE($E$7)=72,$E$10*Datos!$B$8,VLOOKUP($E$14,Indices!$B$3:$N$211,7,FALSE))</f>
        <v>93905</v>
      </c>
      <c r="E30" s="60"/>
      <c r="F30" s="60"/>
      <c r="G30" s="61"/>
      <c r="H30" s="61"/>
      <c r="I30" s="61"/>
      <c r="J30" s="61"/>
      <c r="K30" s="61"/>
      <c r="L30" s="62"/>
    </row>
    <row r="31" spans="1:13" s="19" customFormat="1" ht="16.5" x14ac:dyDescent="0.3">
      <c r="A31" s="91" t="str">
        <f>+Datos!A40</f>
        <v>Comp. Mínimo Garantizado</v>
      </c>
      <c r="B31" s="63">
        <f>IF(CODE($E$7)=72,IF(((B29-B39)-(B29-B39)*IF($E$9="SI",$E$16-2,$E$16)/100+B30)&lt;VLOOKUP($E$14,Indices!$B$4:$F$211,5,FALSE)*$E$10,(VLOOKUP($E$14,Indices!$B$4:$F$211,5,FALSE)*$E$10-B30)-((B29-B39)-(B29-B39)*IF($E$9="SI",$E$16-2,$E$16)/100),0),IF(((B29-B39)-(B29-B39)*IF($E$9="SI",$E$16-2,$E$16)/100+B30)&lt;VLOOKUP($E$14,Indices!$B$4:$F$211,5,FALSE),(VLOOKUP($E$14,Indices!$B$4:$F$211,5,FALSE)-B30)-((B29-B39)-(B29-B39)*IF($E$9="SI",$E$16-2,$E$16)/100),0))</f>
        <v>89970.36</v>
      </c>
      <c r="C31" s="63">
        <f>IF(CODE($E$7)=72,IF(((C29-C39)-(C29-C39)*IF($E$9="SI",$E$16-2,$E$16)/100+C30)&lt;VLOOKUP($E$14,Indices!$B$4:$F$211,5,FALSE)*$E$10,(VLOOKUP($E$14,Indices!$B$4:$F$211,5,FALSE)*$E$10-C30)-((C29-C39)-(C29-C39)*IF($E$9="SI",$E$16-2,$E$16)/100),0),IF(((C29-C39)-(C29-C39)*IF($E$9="SI",$E$16-2,$E$16)/100+C30)&lt;VLOOKUP($E$14,Indices!$B$4:$F$211,5,FALSE),(VLOOKUP($E$14,Indices!$B$4:$F$211,5,FALSE)-C30)-((C29-C39)-(C29-C39)*IF($E$9="SI",$E$16-2,$E$16)/100),0))</f>
        <v>31199.37</v>
      </c>
      <c r="D31" s="63">
        <f>IF(CODE($E$7)=72,IF(((D29-D39)-(D29-D39)*IF($E$9="SI",$E$16-2,$E$16)/100+D30)&lt;VLOOKUP($E$14,Indices!$B$4:$F$211,5,FALSE)*$E$10,(VLOOKUP($E$14,Indices!$B$4:$F$211,5,FALSE)*$E$10-D30)-((D29-D39)-(D29-D39)*IF($E$9="SI",$E$16-2,$E$16)/100),0),IF(((D29-D39)-(D29-D39)*IF($E$9="SI",$E$16-2,$E$16)/100+D30)&lt;VLOOKUP($E$14,Indices!$B$4:$F$211,5,FALSE),(VLOOKUP($E$14,Indices!$B$4:$F$211,5,FALSE)-D30)-((D29-D39)-(D29-D39)*IF($E$9="SI",$E$16-2,$E$16)/100),0))</f>
        <v>11609.04</v>
      </c>
      <c r="E31" s="63">
        <f>IF(CODE($E$7)=72,IF(((E29-E39)-(E29-E39)*IF($E$9="SI",$E$16-2,$E$16)/100+E30)&lt;VLOOKUP($E$14,Indices!$B$4:$F$211,5,FALSE)*$E$10,(VLOOKUP($E$14,Indices!$B$4:$F$211,5,FALSE)*$E$10-E30)-((E29-E39)-(E29-E39)*IF($E$9="SI",$E$16-2,$E$16)/100),0),IF(((E29-E39)-(E29-E39)*IF($E$9="SI",$E$16-2,$E$16)/100+E30)&lt;VLOOKUP($E$14,Indices!$B$4:$F$211,5,FALSE),(VLOOKUP($E$14,Indices!$B$4:$F$211,5,FALSE)-E30)-((E29-E39)-(E29-E39)*IF($E$9="SI",$E$16-2,$E$16)/100),0))</f>
        <v>0</v>
      </c>
      <c r="F31" s="63">
        <f>IF(CODE($E$7)=72,IF(((F29-F39)-(F29-F39)*IF($E$9="SI",$E$16-2,$E$16)/100+F30)&lt;VLOOKUP($E$14,Indices!$B$4:$F$211,5,FALSE)*$E$10,(VLOOKUP($E$14,Indices!$B$4:$F$211,5,FALSE)*$E$10-F30)-((F29-F39)-(F29-F39)*IF($E$9="SI",$E$16-2,$E$16)/100),0),IF(((F29-F39)-(F29-F39)*IF($E$9="SI",$E$16-2,$E$16)/100+F30)&lt;VLOOKUP($E$14,Indices!$B$4:$F$211,5,FALSE),(VLOOKUP($E$14,Indices!$B$4:$F$211,5,FALSE)-F30)-((F29-F39)-(F29-F39)*IF($E$9="SI",$E$16-2,$E$16)/100),0))</f>
        <v>0</v>
      </c>
      <c r="G31" s="63">
        <f>IF(CODE($E$7)=72,IF(((G29-G39)-(G29-G39)*IF($E$9="SI",$E$16-2,$E$16)/100+G30)&lt;VLOOKUP($E$14,Indices!$B$4:$F$211,5,FALSE)*$E$10,(VLOOKUP($E$14,Indices!$B$4:$F$211,5,FALSE)*$E$10-G30)-((G29-G39)-(G29-G39)*IF($E$9="SI",$E$16-2,$E$16)/100),0),IF(((G29-G39)-(G29-G39)*IF($E$9="SI",$E$16-2,$E$16)/100+G30)&lt;VLOOKUP($E$14,Indices!$B$4:$F$211,5,FALSE),(VLOOKUP($E$14,Indices!$B$4:$F$211,5,FALSE)-G30)-((G29-G39)-(G29-G39)*IF($E$9="SI",$E$16-2,$E$16)/100),0))</f>
        <v>0</v>
      </c>
      <c r="H31" s="63">
        <f>IF(CODE($E$7)=72,IF(((H29-H39)-(H29-H39)*IF($E$9="SI",$E$16-2,$E$16)/100+H30)&lt;VLOOKUP($E$14,Indices!$B$4:$F$211,5,FALSE)*$E$10,(VLOOKUP($E$14,Indices!$B$4:$F$211,5,FALSE)*$E$10-H30)-((H29-H39)-(H29-H39)*IF($E$9="SI",$E$16-2,$E$16)/100),0),IF(((H29-H39)-(H29-H39)*IF($E$9="SI",$E$16-2,$E$16)/100+H30)&lt;VLOOKUP($E$14,Indices!$B$4:$F$211,5,FALSE),(VLOOKUP($E$14,Indices!$B$4:$F$211,5,FALSE)-H30)-((H29-H39)-(H29-H39)*IF($E$9="SI",$E$16-2,$E$16)/100),0))</f>
        <v>0</v>
      </c>
      <c r="I31" s="63">
        <f>IF(CODE($E$7)=72,IF(((I29-I39)-(I29-I39)*IF($E$9="SI",$E$16-2,$E$16)/100+I30)&lt;VLOOKUP($E$14,Indices!$B$4:$F$211,5,FALSE)*$E$10,(VLOOKUP($E$14,Indices!$B$4:$F$211,5,FALSE)*$E$10-I30)-((I29-I39)-(I29-I39)*IF($E$9="SI",$E$16-2,$E$16)/100),0),IF(((I29-I39)-(I29-I39)*IF($E$9="SI",$E$16-2,$E$16)/100+I30)&lt;VLOOKUP($E$14,Indices!$B$4:$F$211,5,FALSE),(VLOOKUP($E$14,Indices!$B$4:$F$211,5,FALSE)-I30)-((I29-I39)-(I29-I39)*IF($E$9="SI",$E$16-2,$E$16)/100),0))</f>
        <v>0</v>
      </c>
      <c r="J31" s="63">
        <f>IF(CODE($E$7)=72,IF(((J29-J39)-(J29-J39)*IF($E$9="SI",$E$16-2,$E$16)/100+J30)&lt;VLOOKUP($E$14,Indices!$B$4:$F$211,5,FALSE)*$E$10,(VLOOKUP($E$14,Indices!$B$4:$F$211,5,FALSE)*$E$10-J30)-((J29-J39)-(J29-J39)*IF($E$9="SI",$E$16-2,$E$16)/100),0),IF(((J29-J39)-(J29-J39)*IF($E$9="SI",$E$16-2,$E$16)/100+J30)&lt;VLOOKUP($E$14,Indices!$B$4:$F$211,5,FALSE),(VLOOKUP($E$14,Indices!$B$4:$F$211,5,FALSE)-J30)-((J29-J39)-(J29-J39)*IF($E$9="SI",$E$16-2,$E$16)/100),0))</f>
        <v>0</v>
      </c>
      <c r="K31" s="63">
        <f>IF(CODE($E$7)=72,IF(((K29-K39)-(K29-K39)*IF($E$9="SI",$E$16-2,$E$16)/100+K30)&lt;VLOOKUP($E$14,Indices!$B$4:$F$211,5,FALSE)*$E$10,(VLOOKUP($E$14,Indices!$B$4:$F$211,5,FALSE)*$E$10-K30)-((K29-K39)-(K29-K39)*IF($E$9="SI",$E$16-2,$E$16)/100),0),IF(((K29-K39)-(K29-K39)*IF($E$9="SI",$E$16-2,$E$16)/100+K30)&lt;VLOOKUP($E$14,Indices!$B$4:$F$211,5,FALSE),(VLOOKUP($E$14,Indices!$B$4:$F$211,5,FALSE)-K30)-((K29-K39)-(K29-K39)*IF($E$9="SI",$E$16-2,$E$16)/100),0))</f>
        <v>0</v>
      </c>
      <c r="L31" s="63">
        <f>IF(CODE($E$7)=72,IF(((L29-L39)-(L29-L39)*IF($E$9="SI",$E$16-2,$E$16)/100+L30)&lt;VLOOKUP($E$14,Indices!$B$4:$F$211,5,FALSE)*$E$10,(VLOOKUP($E$14,Indices!$B$4:$F$211,5,FALSE)*$E$10-L30)-((L29-L39)-(L29-L39)*IF($E$9="SI",$E$16-2,$E$16)/100),0),IF(((L29-L39)-(L29-L39)*IF($E$9="SI",$E$16-2,$E$16)/100+L30)&lt;VLOOKUP($E$14,Indices!$B$4:$F$211,5,FALSE),(VLOOKUP($E$14,Indices!$B$4:$F$211,5,FALSE)-L30)-((L29-L39)-(L29-L39)*IF($E$9="SI",$E$16-2,$E$16)/100),0))</f>
        <v>0</v>
      </c>
    </row>
    <row r="32" spans="1:13" s="19" customFormat="1" ht="16.5" x14ac:dyDescent="0.3">
      <c r="A32" s="67" t="str">
        <f>+Datos!A42</f>
        <v>Comp. Fija Prop. (CFP)</v>
      </c>
      <c r="B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C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D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E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F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G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H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I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J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K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  <c r="L32" s="60">
        <f>IF(CODE($E$7)=72,IF(ISERR(FIND("Superior",$E$6,1))=FALSE,IF($E$10&lt;24,$E$10*Datos!$C$27,Datos!$B$26),Datos!$B$27*$E$10),IF(ISERR(FIND("Complet",$E$6,1))=FALSE,IF(OR($E$14=5088,$E$14=5089),Datos!$B$25,Datos!$B$26),Datos!$B$25))</f>
        <v>38500</v>
      </c>
    </row>
    <row r="33" spans="1:12" s="19" customFormat="1" ht="16.5" x14ac:dyDescent="0.3">
      <c r="A33" s="90" t="str">
        <f>+Datos!A43</f>
        <v>Compensación Transitoria</v>
      </c>
      <c r="B33" s="60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C33" s="60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D33" s="60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E33" s="60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F33" s="60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G33" s="60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H33" s="60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I33" s="60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J33" s="60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K33" s="60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  <c r="L33" s="60">
        <f>IF(CODE($E$7)=72,IF(ISERR(FIND("Superior",$E$6,1))=FALSE,IF($E$10&lt;24,$E$10*Datos!$C$24,Datos!$B$23),Datos!$B$24*$E$10),IF(ISERR(FIND("Complet",$E$6,1))=FALSE,IF(OR($E$14=5088,$E$14=5089),Datos!$B$22,Datos!$B$23),Datos!$B$22))</f>
        <v>12250</v>
      </c>
    </row>
    <row r="34" spans="1:12" s="19" customFormat="1" ht="16.5" x14ac:dyDescent="0.3">
      <c r="A34" s="67" t="str">
        <f>+Datos!A46</f>
        <v>Suma Fija NR NB</v>
      </c>
      <c r="B34" s="60">
        <f>IF(CODE($E$7)=72,$E$10*Datos!$B$31,VLOOKUP($E$14,Indices!$B$3:$N$211,11,FALSE))</f>
        <v>16450</v>
      </c>
      <c r="C34" s="60">
        <f>IF(CODE($E$7)=72,$E$10*Datos!$B$31,VLOOKUP($E$14,Indices!$B$3:$N$211,11,FALSE))</f>
        <v>16450</v>
      </c>
      <c r="D34" s="60">
        <f>IF(CODE($E$7)=72,$E$10*Datos!$B$31,VLOOKUP($E$14,Indices!$B$3:$N$211,11,FALSE))</f>
        <v>16450</v>
      </c>
      <c r="E34" s="60">
        <f>IF(CODE($E$7)=72,$E$10*Datos!$B$31,VLOOKUP($E$14,Indices!$B$3:$N$211,11,FALSE))</f>
        <v>16450</v>
      </c>
      <c r="F34" s="60">
        <f>IF(CODE($E$7)=72,$E$10*Datos!$B$31,VLOOKUP($E$14,Indices!$B$3:$N$211,11,FALSE))</f>
        <v>16450</v>
      </c>
      <c r="G34" s="60">
        <f>IF(CODE($E$7)=72,$E$10*Datos!$B$31,VLOOKUP($E$14,Indices!$B$3:$N$211,11,FALSE))</f>
        <v>16450</v>
      </c>
      <c r="H34" s="60">
        <f>IF(CODE($E$7)=72,$E$10*Datos!$B$31,VLOOKUP($E$14,Indices!$B$3:$N$211,11,FALSE))</f>
        <v>16450</v>
      </c>
      <c r="I34" s="60">
        <f>IF(CODE($E$7)=72,$E$10*Datos!$B$31,VLOOKUP($E$14,Indices!$B$3:$N$211,11,FALSE))</f>
        <v>16450</v>
      </c>
      <c r="J34" s="60">
        <f>IF(CODE($E$7)=72,$E$10*Datos!$B$31,VLOOKUP($E$14,Indices!$B$3:$N$211,11,FALSE))</f>
        <v>16450</v>
      </c>
      <c r="K34" s="60">
        <f>IF(CODE($E$7)=72,$E$10*Datos!$B$31,VLOOKUP($E$14,Indices!$B$3:$N$211,11,FALSE))</f>
        <v>16450</v>
      </c>
      <c r="L34" s="60">
        <f>IF(CODE($E$7)=72,$E$10*Datos!$B$31,VLOOKUP($E$14,Indices!$B$3:$N$211,11,FALSE))</f>
        <v>16450</v>
      </c>
    </row>
    <row r="35" spans="1:12" s="19" customFormat="1" ht="16.5" x14ac:dyDescent="0.3">
      <c r="A35" s="73" t="s">
        <v>173</v>
      </c>
      <c r="B35" s="64">
        <f>SUM(B30:B34)</f>
        <v>251075.36</v>
      </c>
      <c r="C35" s="64">
        <f t="shared" ref="C35:L35" si="4">SUM(C30:C34)</f>
        <v>192304.37</v>
      </c>
      <c r="D35" s="64">
        <f t="shared" si="4"/>
        <v>172714.04</v>
      </c>
      <c r="E35" s="64">
        <f t="shared" si="4"/>
        <v>67200</v>
      </c>
      <c r="F35" s="64">
        <f t="shared" si="4"/>
        <v>67200</v>
      </c>
      <c r="G35" s="64">
        <f t="shared" si="4"/>
        <v>67200</v>
      </c>
      <c r="H35" s="64">
        <f t="shared" si="4"/>
        <v>67200</v>
      </c>
      <c r="I35" s="64">
        <f t="shared" si="4"/>
        <v>67200</v>
      </c>
      <c r="J35" s="64">
        <f t="shared" si="4"/>
        <v>67200</v>
      </c>
      <c r="K35" s="64">
        <f t="shared" si="4"/>
        <v>67200</v>
      </c>
      <c r="L35" s="64">
        <f t="shared" si="4"/>
        <v>67200</v>
      </c>
    </row>
    <row r="36" spans="1:12" s="19" customFormat="1" ht="16.5" x14ac:dyDescent="0.3">
      <c r="A36" s="74" t="s">
        <v>14</v>
      </c>
      <c r="B36" s="124">
        <f>IF(B29&lt;$E$17,(B29*$E$16/100),(B29*($E$16-6)/100)+$E$17*0.06)+(IF($E$9="SI",(B30+B31)*0.02,0))</f>
        <v>66197.39</v>
      </c>
      <c r="C36" s="124">
        <f t="shared" ref="C36:L36" si="5">IF(C29&lt;$E$17,(C29*$E$16/100),(C29*($E$16-6)/100)+$E$17*0.06)+(IF($E$9="SI",(C30+C31)*0.02,0))</f>
        <v>84251.23</v>
      </c>
      <c r="D36" s="124">
        <f t="shared" si="5"/>
        <v>90269.17</v>
      </c>
      <c r="E36" s="124">
        <f t="shared" si="5"/>
        <v>123631.95</v>
      </c>
      <c r="F36" s="124">
        <f t="shared" si="5"/>
        <v>129649.89</v>
      </c>
      <c r="G36" s="124">
        <f t="shared" si="5"/>
        <v>135667.84</v>
      </c>
      <c r="H36" s="124">
        <f t="shared" si="5"/>
        <v>141685.78</v>
      </c>
      <c r="I36" s="124">
        <f t="shared" si="5"/>
        <v>147703.73000000001</v>
      </c>
      <c r="J36" s="124">
        <f t="shared" si="5"/>
        <v>153721.67000000001</v>
      </c>
      <c r="K36" s="124">
        <f t="shared" si="5"/>
        <v>159739.62</v>
      </c>
      <c r="L36" s="124">
        <f t="shared" si="5"/>
        <v>165757.56</v>
      </c>
    </row>
    <row r="37" spans="1:12" s="19" customFormat="1" ht="18" x14ac:dyDescent="0.3">
      <c r="A37" s="75" t="s">
        <v>13</v>
      </c>
      <c r="B37" s="76">
        <f t="shared" ref="B37:L37" si="6">SUM(B29+B35)-B36</f>
        <v>466569</v>
      </c>
      <c r="C37" s="76">
        <f t="shared" si="6"/>
        <v>466569</v>
      </c>
      <c r="D37" s="76">
        <f t="shared" si="6"/>
        <v>466569</v>
      </c>
      <c r="E37" s="76">
        <f t="shared" si="6"/>
        <v>469661.46</v>
      </c>
      <c r="F37" s="76">
        <f t="shared" si="6"/>
        <v>489251.79</v>
      </c>
      <c r="G37" s="76">
        <f t="shared" si="6"/>
        <v>508842.12</v>
      </c>
      <c r="H37" s="76">
        <f t="shared" si="6"/>
        <v>528432.44999999995</v>
      </c>
      <c r="I37" s="76">
        <f t="shared" si="6"/>
        <v>548022.78</v>
      </c>
      <c r="J37" s="76">
        <f t="shared" si="6"/>
        <v>567613.11</v>
      </c>
      <c r="K37" s="76">
        <f t="shared" si="6"/>
        <v>587203.43999999994</v>
      </c>
      <c r="L37" s="76">
        <f t="shared" si="6"/>
        <v>606793.77</v>
      </c>
    </row>
    <row r="38" spans="1:12" s="19" customFormat="1" ht="92.25" customHeight="1" x14ac:dyDescent="0.3">
      <c r="A38" s="144"/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</row>
    <row r="39" spans="1:12" ht="31.5" x14ac:dyDescent="0.25">
      <c r="A39" s="127" t="s">
        <v>180</v>
      </c>
      <c r="B39" s="151">
        <f t="shared" ref="B39:L39" si="7">IF(B27&gt;0,(SUM(B22:B23)*1.25+SUM(B22:B23)*B20),(SUM(B22:B23)*1.1+SUM(B22:B23)*B20))</f>
        <v>0</v>
      </c>
      <c r="C39" s="151">
        <f t="shared" si="7"/>
        <v>0</v>
      </c>
      <c r="D39" s="151">
        <f t="shared" si="7"/>
        <v>0</v>
      </c>
      <c r="E39" s="151">
        <f t="shared" si="7"/>
        <v>0</v>
      </c>
      <c r="F39" s="151">
        <f t="shared" si="7"/>
        <v>0</v>
      </c>
      <c r="G39" s="151">
        <f t="shared" si="7"/>
        <v>0</v>
      </c>
      <c r="H39" s="151">
        <f t="shared" si="7"/>
        <v>0</v>
      </c>
      <c r="I39" s="151">
        <f t="shared" si="7"/>
        <v>0</v>
      </c>
      <c r="J39" s="151">
        <f t="shared" si="7"/>
        <v>0</v>
      </c>
      <c r="K39" s="151">
        <f t="shared" si="7"/>
        <v>0</v>
      </c>
      <c r="L39" s="151">
        <f t="shared" si="7"/>
        <v>0</v>
      </c>
    </row>
    <row r="40" spans="1:12" x14ac:dyDescent="0.25"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</row>
    <row r="41" spans="1:12" x14ac:dyDescent="0.25"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</row>
  </sheetData>
  <sheetProtection password="8430" sheet="1" objects="1" scenarios="1" selectLockedCells="1"/>
  <mergeCells count="28">
    <mergeCell ref="A38:L38"/>
    <mergeCell ref="B11:D11"/>
    <mergeCell ref="E11:H11"/>
    <mergeCell ref="E16:G16"/>
    <mergeCell ref="E15:G15"/>
    <mergeCell ref="B13:D13"/>
    <mergeCell ref="B14:D14"/>
    <mergeCell ref="B16:D16"/>
    <mergeCell ref="B15:D15"/>
    <mergeCell ref="E14:G14"/>
    <mergeCell ref="E13:G13"/>
    <mergeCell ref="B17:D17"/>
    <mergeCell ref="E17:G17"/>
    <mergeCell ref="E8:H8"/>
    <mergeCell ref="B10:D10"/>
    <mergeCell ref="E10:H10"/>
    <mergeCell ref="B9:D9"/>
    <mergeCell ref="E9:H9"/>
    <mergeCell ref="B8:D8"/>
    <mergeCell ref="A1:L1"/>
    <mergeCell ref="B6:D6"/>
    <mergeCell ref="B7:D7"/>
    <mergeCell ref="J6:K6"/>
    <mergeCell ref="E6:H6"/>
    <mergeCell ref="E7:H7"/>
    <mergeCell ref="A2:B2"/>
    <mergeCell ref="H2:J2"/>
    <mergeCell ref="A4:L4"/>
  </mergeCells>
  <phoneticPr fontId="0" type="noConversion"/>
  <conditionalFormatting sqref="B11:H11">
    <cfRule type="expression" dxfId="16" priority="1">
      <formula>$B$23&lt;0.001</formula>
    </cfRule>
  </conditionalFormatting>
  <dataValidations count="5">
    <dataValidation type="list" allowBlank="1" showInputMessage="1" showErrorMessage="1" sqref="E7">
      <formula1>INDIRECT(SUBSTITUTE(E6," ","_"))</formula1>
    </dataValidation>
    <dataValidation type="list" allowBlank="1" showInputMessage="1" showErrorMessage="1" sqref="B12 E8:E9">
      <formula1>Opciones</formula1>
    </dataValidation>
    <dataValidation type="list" allowBlank="1" showInputMessage="1" showErrorMessage="1" sqref="E6">
      <formula1>NIVEL</formula1>
    </dataValidation>
    <dataValidation type="list" allowBlank="1" showInputMessage="1" showErrorMessage="1" sqref="E10">
      <formula1>Horas</formula1>
    </dataValidation>
    <dataValidation type="list" allowBlank="1" showInputMessage="1" showErrorMessage="1" sqref="E11">
      <formula1>Tipologia</formula1>
    </dataValidation>
  </dataValidations>
  <printOptions horizontalCentered="1"/>
  <pageMargins left="0.39370078740157483" right="0.19685039370078741" top="0.43307086614173229" bottom="0.35433070866141736" header="0" footer="0"/>
  <pageSetup paperSize="5" scale="70" orientation="landscape" horizontalDpi="4294967293" verticalDpi="300" r:id="rId1"/>
  <headerFooter alignWithMargins="0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18</vt:i4>
      </vt:variant>
    </vt:vector>
  </HeadingPairs>
  <TitlesOfParts>
    <vt:vector size="22" baseType="lpstr">
      <vt:lpstr>Indices</vt:lpstr>
      <vt:lpstr>Datos</vt:lpstr>
      <vt:lpstr>Cargos</vt:lpstr>
      <vt:lpstr>Grilla Personal Docente</vt:lpstr>
      <vt:lpstr>'Grilla Personal Docente'!Área_de_impresión</vt:lpstr>
      <vt:lpstr>Director_Ed_Especial_J.C.</vt:lpstr>
      <vt:lpstr>Enfermería_Nivel_Medio</vt:lpstr>
      <vt:lpstr>Enseñanza_Especial_J._Simple</vt:lpstr>
      <vt:lpstr>Enseñanza_Especial_J.Completa</vt:lpstr>
      <vt:lpstr>Horas</vt:lpstr>
      <vt:lpstr>Jardin_J._Simple</vt:lpstr>
      <vt:lpstr>Jardín_J.Completa</vt:lpstr>
      <vt:lpstr>Medio_Común</vt:lpstr>
      <vt:lpstr>Medio_T._Completo</vt:lpstr>
      <vt:lpstr>Medio_Técnico</vt:lpstr>
      <vt:lpstr>Opciones</vt:lpstr>
      <vt:lpstr>Primario_Adultos</vt:lpstr>
      <vt:lpstr>Primario_J._Simple</vt:lpstr>
      <vt:lpstr>Primario_J.Completa</vt:lpstr>
      <vt:lpstr>Superior_Docente</vt:lpstr>
      <vt:lpstr>Superior_Técnico_Enfermería</vt:lpstr>
      <vt:lpstr>Tipologia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Usuario de Windows</cp:lastModifiedBy>
  <cp:lastPrinted>2020-11-19T12:26:51Z</cp:lastPrinted>
  <dcterms:created xsi:type="dcterms:W3CDTF">2004-09-03T16:19:55Z</dcterms:created>
  <dcterms:modified xsi:type="dcterms:W3CDTF">2024-03-19T19:34:02Z</dcterms:modified>
</cp:coreProperties>
</file>